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tables/table1.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comments8.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10.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R:\project\kov\harju\tallinn\25000027_Tln_kliimaneutraalsuse_analyys\3_Analyys\2_Tellijale saatmiseks\II etapi tööd\Täiendatud\"/>
    </mc:Choice>
  </mc:AlternateContent>
  <xr:revisionPtr revIDLastSave="0" documentId="13_ncr:1_{4BF046E4-A29D-4949-BAD5-CFA5CE0698D3}" xr6:coauthVersionLast="47" xr6:coauthVersionMax="47" xr10:uidLastSave="{00000000-0000-0000-0000-000000000000}"/>
  <bookViews>
    <workbookView xWindow="-120" yWindow="-120" windowWidth="38640" windowHeight="21240" tabRatio="730" activeTab="1" xr2:uid="{BE8ACF16-DF3D-48B7-9B49-24D012056344}"/>
  </bookViews>
  <sheets>
    <sheet name="MEETMED" sheetId="3" r:id="rId1"/>
    <sheet name="TULEMUSED" sheetId="34" r:id="rId2"/>
    <sheet name="SISENDID" sheetId="4" r:id="rId3"/>
    <sheet name="HO1" sheetId="2" r:id="rId4"/>
    <sheet name="HO3,8" sheetId="11" r:id="rId5"/>
    <sheet name="HO4" sheetId="12" r:id="rId6"/>
    <sheet name="HO5-7" sheetId="25" r:id="rId7"/>
    <sheet name="HO10,13" sheetId="27" r:id="rId8"/>
    <sheet name="HO12" sheetId="26" r:id="rId9"/>
    <sheet name="SM1" sheetId="28" r:id="rId10"/>
    <sheet name="SM2" sheetId="32" r:id="rId11"/>
    <sheet name="SM3" sheetId="29" r:id="rId12"/>
    <sheet name="EL2" sheetId="35" r:id="rId13"/>
    <sheet name="TR1-5" sheetId="15" r:id="rId14"/>
    <sheet name="TR11" sheetId="16" r:id="rId15"/>
    <sheet name="TR12" sheetId="9" r:id="rId16"/>
    <sheet name="TR13-18" sheetId="17" r:id="rId17"/>
    <sheet name="TR19-21" sheetId="18" r:id="rId18"/>
    <sheet name="TR22-30" sheetId="19" r:id="rId19"/>
    <sheet name="TR31-34" sheetId="21" r:id="rId20"/>
    <sheet name="TR35" sheetId="20" r:id="rId21"/>
    <sheet name="TR36,37,44" sheetId="23" r:id="rId22"/>
    <sheet name="TR38-43" sheetId="22" r:id="rId23"/>
    <sheet name="TR15" sheetId="13" state="hidden" r:id="rId24"/>
    <sheet name="TR45" sheetId="24" r:id="rId25"/>
    <sheet name="TR46" sheetId="8" r:id="rId26"/>
    <sheet name="EN1" sheetId="5" state="hidden" r:id="rId27"/>
    <sheet name="MA1-5" sheetId="31" r:id="rId28"/>
    <sheet name="RL1-2" sheetId="33" r:id="rId29"/>
    <sheet name="CCU1" sheetId="7" r:id="rId30"/>
  </sheets>
  <definedNames>
    <definedName name="_xlnm._FilterDatabase" localSheetId="0" hidden="1">MEETMED!$B$1:$G$68</definedName>
    <definedName name="_xlnm._FilterDatabase" localSheetId="1" hidden="1">TULEMUSED!$D$34:$F$34</definedName>
    <definedName name="para9lg1" localSheetId="2">SISENDID!#REF!</definedName>
    <definedName name="para9lg1p1" localSheetId="2">SISENDID!$B$399</definedName>
    <definedName name="para9lg1p10" localSheetId="2">SISENDID!$B$408</definedName>
    <definedName name="para9lg1p2" localSheetId="2">SISENDID!$B$400</definedName>
    <definedName name="para9lg1p3" localSheetId="2">SISENDID!$B$401</definedName>
    <definedName name="para9lg1p4" localSheetId="2">SISENDID!$B$402</definedName>
    <definedName name="para9lg1p5" localSheetId="2">SISENDID!$B$403</definedName>
    <definedName name="para9lg1p6" localSheetId="2">SISENDID!$B$404</definedName>
    <definedName name="para9lg1p7" localSheetId="2">SISENDID!$B$405</definedName>
    <definedName name="para9lg1p8" localSheetId="2">SISENDID!$B$406</definedName>
    <definedName name="para9lg1p9" localSheetId="2">SISENDID!$B$407</definedName>
    <definedName name="_xlnm.Print_Area" localSheetId="3">'HO1'!#REF!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1" l="1"/>
  <c r="C9" i="2"/>
  <c r="G3" i="31" a="1"/>
  <c r="G3" i="31" s="1"/>
  <c r="F3" i="22" a="1"/>
  <c r="F3" i="22" s="1"/>
  <c r="F3" i="21" a="1"/>
  <c r="F3" i="21" s="1"/>
  <c r="F3" i="19" a="1"/>
  <c r="F3" i="19" s="1"/>
  <c r="D3" i="18" a="1"/>
  <c r="D3" i="18" s="1"/>
  <c r="D3" i="17" a="1"/>
  <c r="D3" i="17" s="1"/>
  <c r="D3" i="15" a="1"/>
  <c r="D3" i="15" s="1"/>
  <c r="E3" i="12"/>
  <c r="B3" i="9"/>
  <c r="C3" i="33"/>
  <c r="R14" i="34"/>
  <c r="R27" i="34"/>
  <c r="I317" i="4"/>
  <c r="C254" i="4"/>
  <c r="C247" i="4"/>
  <c r="D37" i="34"/>
  <c r="D44" i="34"/>
  <c r="I39" i="34"/>
  <c r="I41" i="34"/>
  <c r="D42" i="34"/>
  <c r="D36" i="34"/>
  <c r="D38" i="34"/>
  <c r="D39" i="34"/>
  <c r="D40" i="34"/>
  <c r="D41" i="34"/>
  <c r="D35" i="34"/>
  <c r="G14" i="4"/>
  <c r="G12" i="4"/>
  <c r="G9" i="4"/>
  <c r="G8" i="4"/>
  <c r="D36" i="7"/>
  <c r="D35" i="7"/>
  <c r="D50" i="8"/>
  <c r="D49" i="8"/>
  <c r="D41" i="24"/>
  <c r="D40" i="24"/>
  <c r="D38" i="22"/>
  <c r="D37" i="22"/>
  <c r="D33" i="23"/>
  <c r="D32" i="23"/>
  <c r="D38" i="20"/>
  <c r="D37" i="20"/>
  <c r="D34" i="21"/>
  <c r="D33" i="21"/>
  <c r="D39" i="19"/>
  <c r="D38" i="19"/>
  <c r="D37" i="18"/>
  <c r="D36" i="18"/>
  <c r="D39" i="17"/>
  <c r="D38" i="17"/>
  <c r="D41" i="9"/>
  <c r="D40" i="9"/>
  <c r="D36" i="16"/>
  <c r="D35" i="16"/>
  <c r="D50" i="15"/>
  <c r="D49" i="15"/>
  <c r="D43" i="35"/>
  <c r="D42" i="35"/>
  <c r="D33" i="29"/>
  <c r="D32" i="29"/>
  <c r="D32" i="32"/>
  <c r="D31" i="32"/>
  <c r="D36" i="28"/>
  <c r="D35" i="28"/>
  <c r="D46" i="26"/>
  <c r="D45" i="26"/>
  <c r="D37" i="27"/>
  <c r="D36" i="27"/>
  <c r="D35" i="25"/>
  <c r="D34" i="25"/>
  <c r="D45" i="12"/>
  <c r="D44" i="12"/>
  <c r="D35" i="11"/>
  <c r="D34" i="11"/>
  <c r="D47" i="2"/>
  <c r="D46" i="2"/>
  <c r="D36" i="33"/>
  <c r="D35" i="33"/>
  <c r="D32" i="31"/>
  <c r="D31" i="31"/>
  <c r="C277" i="4"/>
  <c r="D36" i="25" l="1"/>
  <c r="D42" i="24"/>
  <c r="D37" i="16"/>
  <c r="E39" i="34"/>
  <c r="F39" i="34" s="1"/>
  <c r="E41" i="34"/>
  <c r="I40" i="34"/>
  <c r="E40" i="34" s="1"/>
  <c r="G10" i="4"/>
  <c r="I38" i="34" s="1"/>
  <c r="E38" i="34" s="1"/>
  <c r="D39" i="22"/>
  <c r="I37" i="34"/>
  <c r="E37" i="34" s="1"/>
  <c r="D37" i="7"/>
  <c r="D40" i="19"/>
  <c r="D51" i="8"/>
  <c r="D35" i="21"/>
  <c r="I42" i="34"/>
  <c r="E42" i="34" s="1"/>
  <c r="D38" i="27"/>
  <c r="D40" i="17"/>
  <c r="D47" i="26"/>
  <c r="D37" i="28"/>
  <c r="D38" i="18"/>
  <c r="D37" i="33"/>
  <c r="D33" i="32"/>
  <c r="D48" i="2"/>
  <c r="D34" i="29"/>
  <c r="D36" i="11"/>
  <c r="D44" i="35"/>
  <c r="D39" i="20"/>
  <c r="D34" i="23"/>
  <c r="D46" i="12"/>
  <c r="D51" i="15"/>
  <c r="D42" i="9"/>
  <c r="D33" i="31"/>
  <c r="F13" i="35"/>
  <c r="E13" i="35"/>
  <c r="D13" i="28"/>
  <c r="D13" i="35" s="1"/>
  <c r="C13" i="28"/>
  <c r="C13" i="35" s="1"/>
  <c r="K62" i="4"/>
  <c r="C12" i="28" s="1"/>
  <c r="C12" i="35" s="1"/>
  <c r="K61" i="4"/>
  <c r="C20" i="12"/>
  <c r="L16" i="4"/>
  <c r="L15" i="4"/>
  <c r="L14" i="4"/>
  <c r="L13" i="4"/>
  <c r="L12" i="4"/>
  <c r="M16" i="4"/>
  <c r="D62" i="34" s="1"/>
  <c r="M15" i="4"/>
  <c r="D61" i="34" s="1"/>
  <c r="M14" i="4"/>
  <c r="D60" i="34" s="1"/>
  <c r="M13" i="4"/>
  <c r="D59" i="34" s="1"/>
  <c r="M12" i="4"/>
  <c r="Y31" i="34"/>
  <c r="R189" i="4"/>
  <c r="R188" i="4"/>
  <c r="R187" i="4"/>
  <c r="R186" i="4"/>
  <c r="R185" i="4"/>
  <c r="Q189" i="4"/>
  <c r="Q188" i="4"/>
  <c r="Q187" i="4"/>
  <c r="Q185" i="4"/>
  <c r="Q186" i="4"/>
  <c r="M10" i="4"/>
  <c r="D54" i="34" s="1"/>
  <c r="M9" i="4"/>
  <c r="D53" i="34" s="1"/>
  <c r="L10" i="4"/>
  <c r="L9" i="4"/>
  <c r="L8" i="4"/>
  <c r="L7" i="4"/>
  <c r="L6" i="4"/>
  <c r="E11" i="18"/>
  <c r="D46" i="18" s="1"/>
  <c r="D47" i="16"/>
  <c r="E14" i="35"/>
  <c r="E12" i="35"/>
  <c r="C11" i="32"/>
  <c r="C20" i="27"/>
  <c r="H13" i="2"/>
  <c r="H14" i="2" s="1"/>
  <c r="H15" i="2" s="1"/>
  <c r="H16" i="2" s="1"/>
  <c r="H17" i="2" s="1"/>
  <c r="H18" i="2" s="1"/>
  <c r="F26" i="29"/>
  <c r="F25" i="29"/>
  <c r="F24" i="29"/>
  <c r="F23" i="29"/>
  <c r="F22" i="29"/>
  <c r="C48" i="35"/>
  <c r="F14" i="35"/>
  <c r="F12" i="35"/>
  <c r="D47" i="35"/>
  <c r="D48" i="35" s="1"/>
  <c r="C14" i="35"/>
  <c r="C9" i="35"/>
  <c r="C3" i="35"/>
  <c r="B3" i="35"/>
  <c r="D30" i="34"/>
  <c r="T12" i="34"/>
  <c r="E22" i="34"/>
  <c r="D28" i="34"/>
  <c r="D23" i="34"/>
  <c r="E24" i="34"/>
  <c r="X12" i="34"/>
  <c r="D24" i="34"/>
  <c r="G30" i="34"/>
  <c r="E23" i="34"/>
  <c r="F22" i="34"/>
  <c r="V12" i="34"/>
  <c r="W12" i="34"/>
  <c r="E28" i="34"/>
  <c r="U12" i="34"/>
  <c r="D22" i="34"/>
  <c r="D25" i="34"/>
  <c r="G22" i="34"/>
  <c r="D29" i="34"/>
  <c r="E30" i="34"/>
  <c r="I22" i="34"/>
  <c r="E29" i="34"/>
  <c r="C18" i="35" l="1"/>
  <c r="S188" i="4"/>
  <c r="N14" i="4"/>
  <c r="S189" i="4"/>
  <c r="N13" i="4"/>
  <c r="S186" i="4"/>
  <c r="S187" i="4"/>
  <c r="N12" i="4"/>
  <c r="N16" i="4"/>
  <c r="S185" i="4"/>
  <c r="N15" i="4"/>
  <c r="N9" i="4"/>
  <c r="D58" i="34"/>
  <c r="D63" i="34" s="1"/>
  <c r="N10" i="4"/>
  <c r="E47" i="35"/>
  <c r="E48" i="35" s="1"/>
  <c r="C19" i="35" l="1"/>
  <c r="F47" i="35"/>
  <c r="F48" i="35" s="1"/>
  <c r="C21" i="35" l="1"/>
  <c r="C23" i="35"/>
  <c r="G47" i="35"/>
  <c r="G48" i="35" s="1"/>
  <c r="E49" i="35" l="1"/>
  <c r="C49" i="35"/>
  <c r="F49" i="35"/>
  <c r="D49" i="35"/>
  <c r="H47" i="35"/>
  <c r="H48" i="35" s="1"/>
  <c r="G49" i="35"/>
  <c r="C50" i="35" l="1"/>
  <c r="C51" i="35" s="1"/>
  <c r="C53" i="35"/>
  <c r="C57" i="35" s="1"/>
  <c r="C58" i="35" s="1"/>
  <c r="E53" i="35"/>
  <c r="E50" i="35"/>
  <c r="E51" i="35" s="1"/>
  <c r="F50" i="35"/>
  <c r="F51" i="35" s="1"/>
  <c r="F53" i="35"/>
  <c r="D50" i="35"/>
  <c r="D51" i="35" s="1"/>
  <c r="D53" i="35"/>
  <c r="G50" i="35"/>
  <c r="G51" i="35" s="1"/>
  <c r="G53" i="35"/>
  <c r="I47" i="35"/>
  <c r="I48" i="35" s="1"/>
  <c r="H49" i="35"/>
  <c r="C54" i="35" l="1"/>
  <c r="D54" i="35" s="1"/>
  <c r="E54" i="35" s="1"/>
  <c r="F54" i="35" s="1"/>
  <c r="G54" i="35" s="1"/>
  <c r="C55" i="35"/>
  <c r="C56" i="35" s="1"/>
  <c r="D55" i="35"/>
  <c r="D57" i="35"/>
  <c r="D58" i="35" s="1"/>
  <c r="E55" i="35"/>
  <c r="E57" i="35"/>
  <c r="F57" i="35"/>
  <c r="F55" i="35"/>
  <c r="G57" i="35"/>
  <c r="G55" i="35"/>
  <c r="H50" i="35"/>
  <c r="H51" i="35" s="1"/>
  <c r="H53" i="35"/>
  <c r="J47" i="35"/>
  <c r="J48" i="35" s="1"/>
  <c r="I49" i="35"/>
  <c r="D56" i="35" l="1"/>
  <c r="E56" i="35" s="1"/>
  <c r="F56" i="35" s="1"/>
  <c r="G56" i="35" s="1"/>
  <c r="H54" i="35"/>
  <c r="H57" i="35"/>
  <c r="H55" i="35"/>
  <c r="E58" i="35"/>
  <c r="I50" i="35"/>
  <c r="I53" i="35"/>
  <c r="K47" i="35"/>
  <c r="K48" i="35" s="1"/>
  <c r="J49" i="35"/>
  <c r="H56" i="35" l="1"/>
  <c r="I54" i="35"/>
  <c r="F58" i="35"/>
  <c r="I55" i="35"/>
  <c r="I57" i="35"/>
  <c r="J50" i="35"/>
  <c r="J51" i="35" s="1"/>
  <c r="J53" i="35"/>
  <c r="I51" i="35"/>
  <c r="K49" i="35"/>
  <c r="L47" i="35"/>
  <c r="L48" i="35" s="1"/>
  <c r="I56" i="35" l="1"/>
  <c r="J54" i="35"/>
  <c r="G58" i="35"/>
  <c r="J55" i="35"/>
  <c r="J57" i="35"/>
  <c r="K50" i="35"/>
  <c r="K51" i="35" s="1"/>
  <c r="K53" i="35"/>
  <c r="M47" i="35"/>
  <c r="M48" i="35" s="1"/>
  <c r="L49" i="35"/>
  <c r="K54" i="35" l="1"/>
  <c r="J56" i="35"/>
  <c r="K57" i="35"/>
  <c r="K55" i="35"/>
  <c r="H58" i="35"/>
  <c r="L50" i="35"/>
  <c r="L51" i="35" s="1"/>
  <c r="L53" i="35"/>
  <c r="N47" i="35"/>
  <c r="N48" i="35" s="1"/>
  <c r="M49" i="35"/>
  <c r="K56" i="35" l="1"/>
  <c r="L54" i="35"/>
  <c r="L57" i="35"/>
  <c r="L55" i="35"/>
  <c r="I58" i="35"/>
  <c r="M50" i="35"/>
  <c r="M51" i="35" s="1"/>
  <c r="M53" i="35"/>
  <c r="O47" i="35"/>
  <c r="O48" i="35" s="1"/>
  <c r="N49" i="35"/>
  <c r="L56" i="35" l="1"/>
  <c r="M54" i="35"/>
  <c r="M57" i="35"/>
  <c r="M55" i="35"/>
  <c r="J58" i="35"/>
  <c r="N50" i="35"/>
  <c r="N51" i="35" s="1"/>
  <c r="N53" i="35"/>
  <c r="P47" i="35"/>
  <c r="P48" i="35" s="1"/>
  <c r="O49" i="35"/>
  <c r="M56" i="35" l="1"/>
  <c r="N54" i="35"/>
  <c r="N57" i="35"/>
  <c r="N55" i="35"/>
  <c r="K58" i="35"/>
  <c r="O50" i="35"/>
  <c r="O51" i="35" s="1"/>
  <c r="O53" i="35"/>
  <c r="Q47" i="35"/>
  <c r="Q48" i="35" s="1"/>
  <c r="P49" i="35"/>
  <c r="N56" i="35" l="1"/>
  <c r="O54" i="35"/>
  <c r="O55" i="35"/>
  <c r="O57" i="35"/>
  <c r="L58" i="35"/>
  <c r="P50" i="35"/>
  <c r="P51" i="35" s="1"/>
  <c r="P53" i="35"/>
  <c r="Q49" i="35"/>
  <c r="R47" i="35"/>
  <c r="R48" i="35" s="1"/>
  <c r="O56" i="35" l="1"/>
  <c r="P57" i="35"/>
  <c r="P55" i="35"/>
  <c r="M58" i="35"/>
  <c r="Q50" i="35"/>
  <c r="Q51" i="35" s="1"/>
  <c r="Q53" i="35"/>
  <c r="S47" i="35"/>
  <c r="S48" i="35" s="1"/>
  <c r="R49" i="35"/>
  <c r="P54" i="35"/>
  <c r="P56" i="35" l="1"/>
  <c r="Q57" i="35"/>
  <c r="Q55" i="35"/>
  <c r="N58" i="35"/>
  <c r="R50" i="35"/>
  <c r="R51" i="35" s="1"/>
  <c r="R53" i="35"/>
  <c r="Q54" i="35"/>
  <c r="S49" i="35"/>
  <c r="T47" i="35"/>
  <c r="T48" i="35" s="1"/>
  <c r="Q56" i="35" l="1"/>
  <c r="R57" i="35"/>
  <c r="R55" i="35"/>
  <c r="O58" i="35"/>
  <c r="S50" i="35"/>
  <c r="S51" i="35" s="1"/>
  <c r="S53" i="35"/>
  <c r="T49" i="35"/>
  <c r="U47" i="35"/>
  <c r="U48" i="35" s="1"/>
  <c r="R54" i="35"/>
  <c r="S54" i="35" l="1"/>
  <c r="R56" i="35"/>
  <c r="P58" i="35"/>
  <c r="S57" i="35"/>
  <c r="S55" i="35"/>
  <c r="T50" i="35"/>
  <c r="T51" i="35" s="1"/>
  <c r="T53" i="35"/>
  <c r="V47" i="35"/>
  <c r="V48" i="35" s="1"/>
  <c r="U49" i="35"/>
  <c r="S56" i="35" l="1"/>
  <c r="T57" i="35"/>
  <c r="T55" i="35"/>
  <c r="Q58" i="35"/>
  <c r="U50" i="35"/>
  <c r="U51" i="35" s="1"/>
  <c r="U53" i="35"/>
  <c r="V49" i="35"/>
  <c r="W47" i="35"/>
  <c r="W48" i="35" s="1"/>
  <c r="T54" i="35"/>
  <c r="T56" i="35" l="1"/>
  <c r="U55" i="35"/>
  <c r="U57" i="35"/>
  <c r="R58" i="35"/>
  <c r="V50" i="35"/>
  <c r="V51" i="35" s="1"/>
  <c r="V53" i="35"/>
  <c r="U54" i="35"/>
  <c r="W49" i="35"/>
  <c r="X47" i="35"/>
  <c r="X48" i="35" s="1"/>
  <c r="U56" i="35" l="1"/>
  <c r="S58" i="35"/>
  <c r="V55" i="35"/>
  <c r="V57" i="35"/>
  <c r="W50" i="35"/>
  <c r="W51" i="35" s="1"/>
  <c r="W53" i="35"/>
  <c r="V54" i="35"/>
  <c r="X49" i="35"/>
  <c r="Y47" i="35"/>
  <c r="Y48" i="35" s="1"/>
  <c r="V56" i="35" l="1"/>
  <c r="W55" i="35"/>
  <c r="W57" i="35"/>
  <c r="T58" i="35"/>
  <c r="X50" i="35"/>
  <c r="X51" i="35" s="1"/>
  <c r="X53" i="35"/>
  <c r="W54" i="35"/>
  <c r="Z47" i="35"/>
  <c r="Z48" i="35" s="1"/>
  <c r="Y49" i="35"/>
  <c r="W56" i="35" l="1"/>
  <c r="X55" i="35"/>
  <c r="X57" i="35"/>
  <c r="U58" i="35"/>
  <c r="Y50" i="35"/>
  <c r="Y51" i="35" s="1"/>
  <c r="Y53" i="35"/>
  <c r="Z49" i="35"/>
  <c r="AA47" i="35"/>
  <c r="AA48" i="35" s="1"/>
  <c r="X54" i="35"/>
  <c r="X56" i="35" l="1"/>
  <c r="V58" i="35"/>
  <c r="Y55" i="35"/>
  <c r="Y57" i="35"/>
  <c r="Z50" i="35"/>
  <c r="Z51" i="35" s="1"/>
  <c r="Z53" i="35"/>
  <c r="Y54" i="35"/>
  <c r="AA49" i="35"/>
  <c r="AB47" i="35"/>
  <c r="AB48" i="35" s="1"/>
  <c r="Y56" i="35" l="1"/>
  <c r="Z55" i="35"/>
  <c r="Z57" i="35"/>
  <c r="W58" i="35"/>
  <c r="AA50" i="35"/>
  <c r="AA53" i="35"/>
  <c r="AC47" i="35"/>
  <c r="AC48" i="35" s="1"/>
  <c r="AB49" i="35"/>
  <c r="Z54" i="35"/>
  <c r="Z56" i="35" l="1"/>
  <c r="AA57" i="35"/>
  <c r="AA55" i="35"/>
  <c r="X58" i="35"/>
  <c r="AB50" i="35"/>
  <c r="AB51" i="35" s="1"/>
  <c r="AB53" i="35"/>
  <c r="AA54" i="35"/>
  <c r="AD47" i="35"/>
  <c r="AD48" i="35" s="1"/>
  <c r="AC49" i="35"/>
  <c r="AA51" i="35"/>
  <c r="C33" i="35" s="1"/>
  <c r="C32" i="35"/>
  <c r="D13" i="34"/>
  <c r="E13" i="34"/>
  <c r="AA56" i="35" l="1"/>
  <c r="C34" i="35"/>
  <c r="C35" i="35"/>
  <c r="AB57" i="35"/>
  <c r="AB55" i="35"/>
  <c r="Y58" i="35"/>
  <c r="AC50" i="35"/>
  <c r="AC51" i="35" s="1"/>
  <c r="AC53" i="35"/>
  <c r="AB54" i="35"/>
  <c r="AE47" i="35"/>
  <c r="AE48" i="35" s="1"/>
  <c r="AD49" i="35"/>
  <c r="F13" i="34"/>
  <c r="G13" i="34"/>
  <c r="AB56" i="35" l="1"/>
  <c r="Z58" i="35"/>
  <c r="AC57" i="35"/>
  <c r="AC55" i="35"/>
  <c r="AD50" i="35"/>
  <c r="AD51" i="35" s="1"/>
  <c r="AD53" i="35"/>
  <c r="AF47" i="35"/>
  <c r="AF48" i="35" s="1"/>
  <c r="AE49" i="35"/>
  <c r="AC54" i="35"/>
  <c r="AC56" i="35" l="1"/>
  <c r="AD57" i="35"/>
  <c r="AD55" i="35"/>
  <c r="AA58" i="35"/>
  <c r="AE50" i="35"/>
  <c r="AE51" i="35" s="1"/>
  <c r="AE53" i="35"/>
  <c r="AD54" i="35"/>
  <c r="AG47" i="35"/>
  <c r="AG48" i="35" s="1"/>
  <c r="AF49" i="35"/>
  <c r="AD56" i="35" l="1"/>
  <c r="AE57" i="35"/>
  <c r="AE55" i="35"/>
  <c r="AB58" i="35"/>
  <c r="AF50" i="35"/>
  <c r="AF51" i="35" s="1"/>
  <c r="AF53" i="35"/>
  <c r="AG49" i="35"/>
  <c r="AH47" i="35"/>
  <c r="AH48" i="35" s="1"/>
  <c r="AE54" i="35"/>
  <c r="AE56" i="35" l="1"/>
  <c r="AF57" i="35"/>
  <c r="AF55" i="35"/>
  <c r="AC58" i="35"/>
  <c r="AG50" i="35"/>
  <c r="AG51" i="35" s="1"/>
  <c r="AG53" i="35"/>
  <c r="AF54" i="35"/>
  <c r="AH49" i="35"/>
  <c r="AI47" i="35"/>
  <c r="AI48" i="35" s="1"/>
  <c r="AF56" i="35" l="1"/>
  <c r="AG57" i="35"/>
  <c r="AG55" i="35"/>
  <c r="AD58" i="35"/>
  <c r="AH50" i="35"/>
  <c r="AH51" i="35" s="1"/>
  <c r="AH53" i="35"/>
  <c r="AI49" i="35"/>
  <c r="AJ47" i="35"/>
  <c r="AJ48" i="35" s="1"/>
  <c r="AG54" i="35"/>
  <c r="AG56" i="35" l="1"/>
  <c r="AE58" i="35"/>
  <c r="AH57" i="35"/>
  <c r="AH55" i="35"/>
  <c r="AI50" i="35"/>
  <c r="AI51" i="35" s="1"/>
  <c r="AI53" i="35"/>
  <c r="AJ49" i="35"/>
  <c r="AK47" i="35"/>
  <c r="AK48" i="35" s="1"/>
  <c r="AH54" i="35"/>
  <c r="AH56" i="35" l="1"/>
  <c r="AI57" i="35"/>
  <c r="AI55" i="35"/>
  <c r="AF58" i="35"/>
  <c r="AJ50" i="35"/>
  <c r="AJ51" i="35" s="1"/>
  <c r="AJ53" i="35"/>
  <c r="AL47" i="35"/>
  <c r="AL48" i="35" s="1"/>
  <c r="AK49" i="35"/>
  <c r="AI54" i="35"/>
  <c r="AI56" i="35" l="1"/>
  <c r="AJ57" i="35"/>
  <c r="AJ55" i="35"/>
  <c r="AG58" i="35"/>
  <c r="AK50" i="35"/>
  <c r="AK51" i="35" s="1"/>
  <c r="AK53" i="35"/>
  <c r="AJ54" i="35"/>
  <c r="AM47" i="35"/>
  <c r="AM48" i="35" s="1"/>
  <c r="AL49" i="35"/>
  <c r="AJ56" i="35" l="1"/>
  <c r="AK55" i="35"/>
  <c r="AK56" i="35" s="1"/>
  <c r="AK57" i="35"/>
  <c r="AH58" i="35"/>
  <c r="AL50" i="35"/>
  <c r="AL51" i="35" s="1"/>
  <c r="AL53" i="35"/>
  <c r="AN47" i="35"/>
  <c r="AN48" i="35" s="1"/>
  <c r="AM49" i="35"/>
  <c r="AK54" i="35"/>
  <c r="AL54" i="35" l="1"/>
  <c r="AL55" i="35"/>
  <c r="AL56" i="35" s="1"/>
  <c r="AL57" i="35"/>
  <c r="AI58" i="35"/>
  <c r="AM50" i="35"/>
  <c r="AM51" i="35" s="1"/>
  <c r="AM53" i="35"/>
  <c r="AN49" i="35"/>
  <c r="AO47" i="35"/>
  <c r="AO48" i="35" s="1"/>
  <c r="AM54" i="35" l="1"/>
  <c r="AM55" i="35"/>
  <c r="AM56" i="35" s="1"/>
  <c r="AM57" i="35"/>
  <c r="AJ58" i="35"/>
  <c r="AN50" i="35"/>
  <c r="AN51" i="35" s="1"/>
  <c r="AN53" i="35"/>
  <c r="AP47" i="35"/>
  <c r="AP48" i="35" s="1"/>
  <c r="AO49" i="35"/>
  <c r="AN54" i="35" l="1"/>
  <c r="AN55" i="35"/>
  <c r="AN56" i="35" s="1"/>
  <c r="AN57" i="35"/>
  <c r="AK58" i="35"/>
  <c r="AO50" i="35"/>
  <c r="AO51" i="35" s="1"/>
  <c r="AO53" i="35"/>
  <c r="AP49" i="35"/>
  <c r="AQ47" i="35"/>
  <c r="AQ48" i="35" s="1"/>
  <c r="AO54" i="35" l="1"/>
  <c r="AO55" i="35"/>
  <c r="AO56" i="35" s="1"/>
  <c r="AO57" i="35"/>
  <c r="AL58" i="35"/>
  <c r="AP50" i="35"/>
  <c r="AP51" i="35" s="1"/>
  <c r="AP53" i="35"/>
  <c r="AR47" i="35"/>
  <c r="AR48" i="35" s="1"/>
  <c r="AQ49" i="35"/>
  <c r="AP54" i="35" l="1"/>
  <c r="AP55" i="35"/>
  <c r="AP56" i="35" s="1"/>
  <c r="AP57" i="35"/>
  <c r="AM58" i="35"/>
  <c r="AQ50" i="35"/>
  <c r="AQ51" i="35" s="1"/>
  <c r="AQ53" i="35"/>
  <c r="AS47" i="35"/>
  <c r="AS48" i="35" s="1"/>
  <c r="AR49" i="35"/>
  <c r="AQ54" i="35" l="1"/>
  <c r="AQ57" i="35"/>
  <c r="AQ55" i="35"/>
  <c r="AQ56" i="35" s="1"/>
  <c r="AN58" i="35"/>
  <c r="AR50" i="35"/>
  <c r="AR51" i="35" s="1"/>
  <c r="AR53" i="35"/>
  <c r="AT47" i="35"/>
  <c r="AT48" i="35" s="1"/>
  <c r="AS49" i="35"/>
  <c r="AR54" i="35" l="1"/>
  <c r="AR57" i="35"/>
  <c r="AR55" i="35"/>
  <c r="AR56" i="35" s="1"/>
  <c r="AO58" i="35"/>
  <c r="AS50" i="35"/>
  <c r="AS51" i="35" s="1"/>
  <c r="AS53" i="35"/>
  <c r="AU47" i="35"/>
  <c r="AT49" i="35"/>
  <c r="AS54" i="35" l="1"/>
  <c r="AP58" i="35"/>
  <c r="AS57" i="35"/>
  <c r="AS55" i="35"/>
  <c r="AS56" i="35" s="1"/>
  <c r="AU48" i="35"/>
  <c r="AU49" i="35" s="1"/>
  <c r="AT50" i="35"/>
  <c r="AT51" i="35" s="1"/>
  <c r="AT53" i="35"/>
  <c r="AT54" i="35" l="1"/>
  <c r="AT57" i="35"/>
  <c r="AT55" i="35"/>
  <c r="AT56" i="35" s="1"/>
  <c r="AQ58" i="35"/>
  <c r="AU50" i="35"/>
  <c r="AU51" i="35" s="1"/>
  <c r="AU53" i="35"/>
  <c r="AR58" i="35" l="1"/>
  <c r="AU55" i="35"/>
  <c r="AU56" i="35" s="1"/>
  <c r="AU57" i="35"/>
  <c r="AU54" i="35"/>
  <c r="AS58" i="35" l="1"/>
  <c r="AT58" i="35" l="1"/>
  <c r="AU58" i="35" l="1"/>
  <c r="C37" i="35" l="1"/>
  <c r="J16" i="9"/>
  <c r="K16" i="9"/>
  <c r="E11" i="20"/>
  <c r="D48" i="16"/>
  <c r="G9" i="34"/>
  <c r="I12" i="34"/>
  <c r="H12" i="34"/>
  <c r="D16" i="34"/>
  <c r="D17" i="34"/>
  <c r="D5" i="34"/>
  <c r="E16" i="34"/>
  <c r="E20" i="7" l="1"/>
  <c r="C13" i="33"/>
  <c r="C15" i="33" s="1"/>
  <c r="C17" i="33" s="1"/>
  <c r="D41" i="33"/>
  <c r="E40" i="33"/>
  <c r="E41" i="33" s="1"/>
  <c r="C10" i="33"/>
  <c r="B3" i="33"/>
  <c r="F13" i="29"/>
  <c r="F12" i="29"/>
  <c r="D13" i="29"/>
  <c r="C13" i="29"/>
  <c r="C14" i="29" s="1"/>
  <c r="C44" i="32"/>
  <c r="H73" i="4" s="1"/>
  <c r="D73" i="4" s="1"/>
  <c r="E73" i="4" s="1"/>
  <c r="F73" i="4" s="1"/>
  <c r="G73" i="4" s="1"/>
  <c r="C41" i="32"/>
  <c r="C43" i="32" s="1"/>
  <c r="C40" i="32"/>
  <c r="C42" i="32" s="1"/>
  <c r="C37" i="32"/>
  <c r="D36" i="32"/>
  <c r="E36" i="32" s="1"/>
  <c r="C22" i="32"/>
  <c r="C21" i="32"/>
  <c r="C14" i="32"/>
  <c r="C13" i="32"/>
  <c r="C10" i="32"/>
  <c r="C9" i="32"/>
  <c r="E3" i="32"/>
  <c r="B3" i="32"/>
  <c r="D37" i="31"/>
  <c r="E36" i="31"/>
  <c r="F36" i="31" s="1"/>
  <c r="C10" i="31"/>
  <c r="D11" i="34"/>
  <c r="E11" i="34"/>
  <c r="D40" i="31" l="1"/>
  <c r="D44" i="31" s="1"/>
  <c r="D41" i="31"/>
  <c r="D45" i="31" s="1"/>
  <c r="D39" i="31"/>
  <c r="E42" i="33"/>
  <c r="C24" i="32"/>
  <c r="C23" i="32"/>
  <c r="D42" i="33"/>
  <c r="D43" i="33" s="1"/>
  <c r="F40" i="33"/>
  <c r="F41" i="33" s="1"/>
  <c r="F42" i="33" s="1"/>
  <c r="D40" i="32"/>
  <c r="D42" i="32" s="1"/>
  <c r="D41" i="32"/>
  <c r="D43" i="32" s="1"/>
  <c r="D44" i="32"/>
  <c r="F36" i="32"/>
  <c r="E40" i="32"/>
  <c r="E42" i="32" s="1"/>
  <c r="E37" i="32"/>
  <c r="E41" i="32"/>
  <c r="E43" i="32" s="1"/>
  <c r="C45" i="32"/>
  <c r="D37" i="32"/>
  <c r="E37" i="31"/>
  <c r="G36" i="31"/>
  <c r="F37" i="31"/>
  <c r="C38" i="29"/>
  <c r="D37" i="29"/>
  <c r="C9" i="29"/>
  <c r="E3" i="29"/>
  <c r="B3" i="29"/>
  <c r="C17" i="28"/>
  <c r="AL49" i="28"/>
  <c r="AM49" i="28"/>
  <c r="AN49" i="28"/>
  <c r="AO49" i="28"/>
  <c r="AP49" i="28"/>
  <c r="AQ49" i="28"/>
  <c r="AR49" i="28"/>
  <c r="AS49" i="28"/>
  <c r="AT49" i="28"/>
  <c r="AU49" i="28"/>
  <c r="C14" i="28"/>
  <c r="C41" i="28"/>
  <c r="C9" i="28"/>
  <c r="E3" i="28"/>
  <c r="B3" i="28"/>
  <c r="K56" i="4"/>
  <c r="K41" i="4"/>
  <c r="K43" i="4" s="1"/>
  <c r="C14" i="27"/>
  <c r="C42" i="27" s="1"/>
  <c r="C43" i="27" s="1"/>
  <c r="C9" i="27"/>
  <c r="D9" i="27"/>
  <c r="C10" i="27"/>
  <c r="D10" i="27"/>
  <c r="D8" i="27"/>
  <c r="C8" i="27"/>
  <c r="D41" i="27"/>
  <c r="C27" i="2"/>
  <c r="C26" i="26"/>
  <c r="G13" i="26"/>
  <c r="G14" i="26"/>
  <c r="G15" i="26"/>
  <c r="G16" i="26"/>
  <c r="G17" i="26"/>
  <c r="G18" i="26"/>
  <c r="G19" i="26"/>
  <c r="G12" i="26"/>
  <c r="G85" i="26"/>
  <c r="E19" i="26" s="1"/>
  <c r="G79" i="26"/>
  <c r="E13" i="26" s="1"/>
  <c r="G78" i="26"/>
  <c r="E12" i="26" s="1"/>
  <c r="G84" i="26"/>
  <c r="E18" i="26" s="1"/>
  <c r="G83" i="26"/>
  <c r="E17" i="26" s="1"/>
  <c r="G82" i="26"/>
  <c r="E16" i="26" s="1"/>
  <c r="G81" i="26"/>
  <c r="E15" i="26" s="1"/>
  <c r="G80" i="26"/>
  <c r="E14" i="26" s="1"/>
  <c r="AU74" i="26"/>
  <c r="AT74" i="26"/>
  <c r="AS74" i="26"/>
  <c r="AR74" i="26"/>
  <c r="AQ74" i="26"/>
  <c r="AP74" i="26"/>
  <c r="AO74" i="26"/>
  <c r="AN74" i="26"/>
  <c r="AM74" i="26"/>
  <c r="AL74" i="26"/>
  <c r="AU73" i="26"/>
  <c r="AT73" i="26"/>
  <c r="AS73" i="26"/>
  <c r="AR73" i="26"/>
  <c r="AQ73" i="26"/>
  <c r="AP73" i="26"/>
  <c r="AO73" i="26"/>
  <c r="AN73" i="26"/>
  <c r="AM73" i="26"/>
  <c r="AL73" i="26"/>
  <c r="AK73" i="26"/>
  <c r="AA73" i="26"/>
  <c r="C50" i="26"/>
  <c r="D50" i="26" s="1"/>
  <c r="E50" i="26" s="1"/>
  <c r="F50" i="26" s="1"/>
  <c r="C9" i="26"/>
  <c r="E3" i="26"/>
  <c r="B3" i="26"/>
  <c r="E9" i="34"/>
  <c r="G11" i="34"/>
  <c r="E5" i="34"/>
  <c r="D8" i="34"/>
  <c r="F11" i="34"/>
  <c r="E8" i="34"/>
  <c r="F39" i="31" l="1"/>
  <c r="F41" i="31"/>
  <c r="F40" i="31"/>
  <c r="D43" i="31"/>
  <c r="D47" i="31"/>
  <c r="E39" i="31"/>
  <c r="E40" i="31"/>
  <c r="E44" i="31" s="1"/>
  <c r="E41" i="31"/>
  <c r="E45" i="31" s="1"/>
  <c r="C48" i="29"/>
  <c r="C47" i="29"/>
  <c r="K58" i="4"/>
  <c r="K63" i="4"/>
  <c r="K64" i="4" s="1"/>
  <c r="D12" i="28" s="1"/>
  <c r="D14" i="28"/>
  <c r="D14" i="35"/>
  <c r="E43" i="33"/>
  <c r="F43" i="33" s="1"/>
  <c r="D45" i="32"/>
  <c r="I73" i="4"/>
  <c r="G40" i="33"/>
  <c r="G41" i="33" s="1"/>
  <c r="G42" i="33" s="1"/>
  <c r="E44" i="32"/>
  <c r="F44" i="32" s="1"/>
  <c r="D38" i="29"/>
  <c r="D44" i="29" s="1"/>
  <c r="C43" i="29"/>
  <c r="C44" i="29"/>
  <c r="C42" i="29"/>
  <c r="G36" i="32"/>
  <c r="F37" i="32"/>
  <c r="F40" i="32"/>
  <c r="F42" i="32" s="1"/>
  <c r="F41" i="32"/>
  <c r="F43" i="32" s="1"/>
  <c r="H36" i="31"/>
  <c r="G37" i="31"/>
  <c r="E37" i="29"/>
  <c r="D40" i="28"/>
  <c r="C47" i="27"/>
  <c r="C48" i="27"/>
  <c r="C49" i="27"/>
  <c r="D42" i="27"/>
  <c r="D43" i="27" s="1"/>
  <c r="E41" i="27"/>
  <c r="E42" i="27" s="1"/>
  <c r="E43" i="27" s="1"/>
  <c r="E20" i="26"/>
  <c r="G50" i="26"/>
  <c r="E9" i="25"/>
  <c r="E10" i="25"/>
  <c r="E8" i="25"/>
  <c r="C16" i="25"/>
  <c r="I9" i="25" s="1"/>
  <c r="C15" i="25"/>
  <c r="C14" i="25"/>
  <c r="H9" i="25" s="1"/>
  <c r="C13" i="25"/>
  <c r="C12" i="25"/>
  <c r="G9" i="25" s="1"/>
  <c r="D32" i="4"/>
  <c r="E32" i="4"/>
  <c r="C32" i="4"/>
  <c r="AU56" i="25"/>
  <c r="AT56" i="25"/>
  <c r="AS56" i="25"/>
  <c r="AR56" i="25"/>
  <c r="AQ56" i="25"/>
  <c r="AP56" i="25"/>
  <c r="AO56" i="25"/>
  <c r="AN56" i="25"/>
  <c r="AM56" i="25"/>
  <c r="AL56" i="25"/>
  <c r="C39" i="25"/>
  <c r="D39" i="25" s="1"/>
  <c r="F74" i="15"/>
  <c r="D76" i="15"/>
  <c r="D77" i="15"/>
  <c r="D75" i="15"/>
  <c r="E69" i="15"/>
  <c r="E76" i="15" s="1"/>
  <c r="G63" i="15"/>
  <c r="G72" i="15" s="1"/>
  <c r="H63" i="15"/>
  <c r="I63" i="15"/>
  <c r="J63" i="15"/>
  <c r="K63" i="15"/>
  <c r="L63" i="15"/>
  <c r="M63" i="15"/>
  <c r="N63" i="15"/>
  <c r="F63" i="15"/>
  <c r="H68" i="15"/>
  <c r="I68" i="15"/>
  <c r="J68" i="15"/>
  <c r="K68" i="15"/>
  <c r="L68" i="15"/>
  <c r="M68" i="15"/>
  <c r="O68" i="15"/>
  <c r="P68" i="15"/>
  <c r="R68" i="15"/>
  <c r="S68" i="15"/>
  <c r="U68" i="15"/>
  <c r="V68" i="15"/>
  <c r="W68" i="15"/>
  <c r="Y68" i="15"/>
  <c r="Z68" i="15"/>
  <c r="AA68" i="15"/>
  <c r="AC68" i="15"/>
  <c r="AD68" i="15"/>
  <c r="AE68" i="15"/>
  <c r="AF68" i="15"/>
  <c r="AG68" i="15"/>
  <c r="AH68" i="15"/>
  <c r="AI68" i="15"/>
  <c r="AJ68" i="15"/>
  <c r="AK68" i="15"/>
  <c r="AL68" i="15"/>
  <c r="AM68" i="15"/>
  <c r="AN68" i="15"/>
  <c r="AO68" i="15"/>
  <c r="AP68" i="15"/>
  <c r="AQ68" i="15"/>
  <c r="AR68" i="15"/>
  <c r="AS68" i="15"/>
  <c r="AT68" i="15"/>
  <c r="AU68" i="15"/>
  <c r="AV68" i="15"/>
  <c r="AW68" i="15"/>
  <c r="AX68" i="15"/>
  <c r="AY68" i="15"/>
  <c r="F68" i="15"/>
  <c r="G68" i="15"/>
  <c r="G57" i="15"/>
  <c r="H57" i="15"/>
  <c r="I57" i="15"/>
  <c r="J57" i="15"/>
  <c r="K57" i="15"/>
  <c r="L57" i="15"/>
  <c r="M57" i="15"/>
  <c r="N57" i="15"/>
  <c r="O57" i="15"/>
  <c r="P57" i="15"/>
  <c r="Q57" i="15"/>
  <c r="R57" i="15"/>
  <c r="S57" i="15"/>
  <c r="T57" i="15"/>
  <c r="U57" i="15"/>
  <c r="V57" i="15"/>
  <c r="W57" i="15"/>
  <c r="X57" i="15"/>
  <c r="Y57" i="15"/>
  <c r="Z57" i="15"/>
  <c r="AA57" i="15"/>
  <c r="AB57" i="15"/>
  <c r="AC57" i="15"/>
  <c r="AD57" i="15"/>
  <c r="AE57" i="15"/>
  <c r="AF57" i="15"/>
  <c r="AG57" i="15"/>
  <c r="AH57" i="15"/>
  <c r="AI57" i="15"/>
  <c r="AJ57" i="15"/>
  <c r="AK57" i="15"/>
  <c r="AL57" i="15"/>
  <c r="AM57" i="15"/>
  <c r="AN57" i="15"/>
  <c r="AO57" i="15"/>
  <c r="AP57" i="15"/>
  <c r="AQ57" i="15"/>
  <c r="AR57" i="15"/>
  <c r="AS57" i="15"/>
  <c r="AT57" i="15"/>
  <c r="AU57" i="15"/>
  <c r="AV57" i="15"/>
  <c r="AW57" i="15"/>
  <c r="AX57" i="15"/>
  <c r="AY57" i="15"/>
  <c r="F57" i="15"/>
  <c r="H12" i="15"/>
  <c r="F12" i="15"/>
  <c r="K12" i="15" s="1"/>
  <c r="O17" i="24"/>
  <c r="P17" i="24"/>
  <c r="P16" i="24"/>
  <c r="J188" i="4"/>
  <c r="L188" i="4" s="1"/>
  <c r="J187" i="4"/>
  <c r="L187" i="4" s="1"/>
  <c r="J186" i="4"/>
  <c r="L186" i="4" s="1"/>
  <c r="J185" i="4"/>
  <c r="L185" i="4" s="1"/>
  <c r="U7" i="34"/>
  <c r="F45" i="31" l="1"/>
  <c r="F44" i="31"/>
  <c r="E43" i="31"/>
  <c r="E50" i="31" s="1"/>
  <c r="E51" i="31" s="1"/>
  <c r="E47" i="31"/>
  <c r="E48" i="31"/>
  <c r="E49" i="31" s="1"/>
  <c r="F43" i="31"/>
  <c r="D48" i="31"/>
  <c r="D49" i="31" s="1"/>
  <c r="D50" i="31"/>
  <c r="D51" i="31" s="1"/>
  <c r="G39" i="31"/>
  <c r="G40" i="31"/>
  <c r="G44" i="31" s="1"/>
  <c r="G41" i="31"/>
  <c r="G45" i="31" s="1"/>
  <c r="F47" i="31"/>
  <c r="C49" i="29"/>
  <c r="C45" i="29" s="1"/>
  <c r="C46" i="29" s="1"/>
  <c r="C45" i="28"/>
  <c r="C46" i="28" s="1"/>
  <c r="C42" i="28"/>
  <c r="C43" i="28" s="1"/>
  <c r="D12" i="35"/>
  <c r="C47" i="28"/>
  <c r="C48" i="28" s="1"/>
  <c r="D41" i="25"/>
  <c r="C44" i="27"/>
  <c r="C45" i="27" s="1"/>
  <c r="C23" i="26"/>
  <c r="D51" i="26" s="1"/>
  <c r="E47" i="27"/>
  <c r="G43" i="33"/>
  <c r="D49" i="27"/>
  <c r="E48" i="27"/>
  <c r="E45" i="32"/>
  <c r="J73" i="4"/>
  <c r="F45" i="32"/>
  <c r="K73" i="4"/>
  <c r="E49" i="27"/>
  <c r="D47" i="27"/>
  <c r="D48" i="27"/>
  <c r="H40" i="33"/>
  <c r="H41" i="33" s="1"/>
  <c r="H42" i="33" s="1"/>
  <c r="D47" i="29"/>
  <c r="D48" i="29"/>
  <c r="D43" i="29"/>
  <c r="D42" i="29"/>
  <c r="H36" i="32"/>
  <c r="G44" i="32"/>
  <c r="G37" i="32"/>
  <c r="G40" i="32"/>
  <c r="G42" i="32" s="1"/>
  <c r="G41" i="32"/>
  <c r="G43" i="32" s="1"/>
  <c r="I36" i="31"/>
  <c r="H37" i="31"/>
  <c r="E38" i="29"/>
  <c r="C50" i="27"/>
  <c r="F37" i="29"/>
  <c r="E48" i="29" s="1"/>
  <c r="E40" i="28"/>
  <c r="E41" i="28" s="1"/>
  <c r="E42" i="28" s="1"/>
  <c r="D41" i="28"/>
  <c r="D45" i="28" s="1"/>
  <c r="F41" i="27"/>
  <c r="F42" i="27" s="1"/>
  <c r="H50" i="26"/>
  <c r="I8" i="25"/>
  <c r="I10" i="25"/>
  <c r="H8" i="25"/>
  <c r="H10" i="25"/>
  <c r="C43" i="25"/>
  <c r="C42" i="25"/>
  <c r="C41" i="25"/>
  <c r="C45" i="25"/>
  <c r="D45" i="25"/>
  <c r="G8" i="25"/>
  <c r="G10" i="25"/>
  <c r="D42" i="25"/>
  <c r="D47" i="25"/>
  <c r="C46" i="25"/>
  <c r="D43" i="25"/>
  <c r="C47" i="25"/>
  <c r="D46" i="25"/>
  <c r="J189" i="4"/>
  <c r="L189" i="4"/>
  <c r="M186" i="4"/>
  <c r="M187" i="4"/>
  <c r="M188" i="4"/>
  <c r="E39" i="25"/>
  <c r="E75" i="15"/>
  <c r="E77" i="15"/>
  <c r="G71" i="15"/>
  <c r="M185" i="4"/>
  <c r="C51" i="26" l="1"/>
  <c r="E51" i="26"/>
  <c r="G47" i="31"/>
  <c r="F48" i="31"/>
  <c r="F49" i="31" s="1"/>
  <c r="F50" i="31"/>
  <c r="F51" i="31" s="1"/>
  <c r="G43" i="31"/>
  <c r="H39" i="31"/>
  <c r="H40" i="31"/>
  <c r="H44" i="31" s="1"/>
  <c r="H41" i="31"/>
  <c r="H45" i="31" s="1"/>
  <c r="E45" i="28"/>
  <c r="D42" i="28"/>
  <c r="D43" i="28" s="1"/>
  <c r="D47" i="28"/>
  <c r="D48" i="28" s="1"/>
  <c r="E43" i="28"/>
  <c r="E47" i="28"/>
  <c r="G51" i="26"/>
  <c r="H43" i="33"/>
  <c r="D44" i="27"/>
  <c r="D45" i="27" s="1"/>
  <c r="E44" i="27"/>
  <c r="E45" i="27" s="1"/>
  <c r="F51" i="26"/>
  <c r="D49" i="29"/>
  <c r="D45" i="29" s="1"/>
  <c r="D46" i="29" s="1"/>
  <c r="D50" i="27"/>
  <c r="E50" i="27"/>
  <c r="I40" i="33"/>
  <c r="J40" i="33" s="1"/>
  <c r="F48" i="27"/>
  <c r="F49" i="27"/>
  <c r="F47" i="27"/>
  <c r="E47" i="29"/>
  <c r="E49" i="29" s="1"/>
  <c r="G45" i="32"/>
  <c r="F21" i="32" s="1"/>
  <c r="L73" i="4"/>
  <c r="E44" i="29"/>
  <c r="E43" i="29"/>
  <c r="E42" i="29"/>
  <c r="I36" i="32"/>
  <c r="H41" i="32"/>
  <c r="H43" i="32" s="1"/>
  <c r="H44" i="32"/>
  <c r="H40" i="32"/>
  <c r="H42" i="32" s="1"/>
  <c r="H37" i="32"/>
  <c r="J36" i="31"/>
  <c r="I37" i="31"/>
  <c r="F38" i="29"/>
  <c r="G37" i="29"/>
  <c r="D46" i="28"/>
  <c r="F40" i="28"/>
  <c r="F41" i="28" s="1"/>
  <c r="F43" i="27"/>
  <c r="G41" i="27"/>
  <c r="G42" i="27" s="1"/>
  <c r="H51" i="26"/>
  <c r="I50" i="26"/>
  <c r="D54" i="25"/>
  <c r="D53" i="25"/>
  <c r="C50" i="25"/>
  <c r="C54" i="25"/>
  <c r="C53" i="25"/>
  <c r="D50" i="25"/>
  <c r="C49" i="25"/>
  <c r="D49" i="25"/>
  <c r="E41" i="25"/>
  <c r="E46" i="25"/>
  <c r="E45" i="25"/>
  <c r="E43" i="25"/>
  <c r="E42" i="25"/>
  <c r="E47" i="25"/>
  <c r="M190" i="4"/>
  <c r="M189" i="4"/>
  <c r="C15" i="24" s="1"/>
  <c r="F39" i="25"/>
  <c r="C19" i="24"/>
  <c r="C21" i="24"/>
  <c r="D45" i="24"/>
  <c r="D46" i="24" s="1"/>
  <c r="C31" i="24"/>
  <c r="C13" i="24"/>
  <c r="C10" i="24"/>
  <c r="D3" i="24"/>
  <c r="B3" i="24"/>
  <c r="D41" i="23"/>
  <c r="D48" i="23" s="1"/>
  <c r="J10" i="23"/>
  <c r="D39" i="23"/>
  <c r="D44" i="23" s="1"/>
  <c r="D40" i="23"/>
  <c r="D45" i="23" s="1"/>
  <c r="J9" i="23"/>
  <c r="J8" i="23"/>
  <c r="E25" i="34"/>
  <c r="T11" i="34"/>
  <c r="H47" i="31" l="1"/>
  <c r="H43" i="31"/>
  <c r="G48" i="31"/>
  <c r="G49" i="31" s="1"/>
  <c r="G50" i="31"/>
  <c r="G51" i="31" s="1"/>
  <c r="I39" i="31"/>
  <c r="I40" i="31"/>
  <c r="I44" i="31" s="1"/>
  <c r="I41" i="31"/>
  <c r="I45" i="31" s="1"/>
  <c r="F47" i="28"/>
  <c r="F45" i="28"/>
  <c r="F42" i="28"/>
  <c r="F43" i="28" s="1"/>
  <c r="I41" i="33"/>
  <c r="I42" i="33" s="1"/>
  <c r="I43" i="33" s="1"/>
  <c r="F44" i="27"/>
  <c r="F45" i="27" s="1"/>
  <c r="E45" i="29"/>
  <c r="E46" i="29" s="1"/>
  <c r="F50" i="27"/>
  <c r="G49" i="27"/>
  <c r="G47" i="27"/>
  <c r="G48" i="27"/>
  <c r="H45" i="32"/>
  <c r="M73" i="4"/>
  <c r="K40" i="33"/>
  <c r="J41" i="33"/>
  <c r="J42" i="33" s="1"/>
  <c r="F48" i="29"/>
  <c r="F47" i="29"/>
  <c r="F44" i="29"/>
  <c r="F43" i="29"/>
  <c r="F42" i="29"/>
  <c r="J36" i="32"/>
  <c r="I44" i="32"/>
  <c r="I37" i="32"/>
  <c r="I40" i="32"/>
  <c r="I42" i="32" s="1"/>
  <c r="I41" i="32"/>
  <c r="I43" i="32" s="1"/>
  <c r="K36" i="31"/>
  <c r="J37" i="31"/>
  <c r="G38" i="29"/>
  <c r="H37" i="29"/>
  <c r="E46" i="28"/>
  <c r="E48" i="28"/>
  <c r="G40" i="28"/>
  <c r="G41" i="28" s="1"/>
  <c r="G43" i="27"/>
  <c r="H41" i="27"/>
  <c r="H42" i="27" s="1"/>
  <c r="I51" i="26"/>
  <c r="J50" i="26"/>
  <c r="E50" i="25"/>
  <c r="E54" i="25"/>
  <c r="E53" i="25"/>
  <c r="F46" i="25"/>
  <c r="F41" i="25"/>
  <c r="F42" i="25"/>
  <c r="F45" i="25"/>
  <c r="F43" i="25"/>
  <c r="F47" i="25"/>
  <c r="E49" i="25"/>
  <c r="C23" i="24"/>
  <c r="G39" i="25"/>
  <c r="D46" i="23"/>
  <c r="D47" i="23"/>
  <c r="C20" i="24"/>
  <c r="D47" i="24"/>
  <c r="D49" i="24"/>
  <c r="E45" i="24"/>
  <c r="D43" i="23"/>
  <c r="E37" i="23"/>
  <c r="E41" i="23" s="1"/>
  <c r="E42" i="22"/>
  <c r="E11" i="22"/>
  <c r="D47" i="22" s="1"/>
  <c r="E10" i="22"/>
  <c r="D46" i="22" s="1"/>
  <c r="E9" i="22"/>
  <c r="D45" i="22" s="1"/>
  <c r="E8" i="22"/>
  <c r="B3" i="22"/>
  <c r="W24" i="34"/>
  <c r="U24" i="34"/>
  <c r="J43" i="33" l="1"/>
  <c r="I47" i="31"/>
  <c r="J39" i="31"/>
  <c r="J41" i="31"/>
  <c r="J45" i="31" s="1"/>
  <c r="J40" i="31"/>
  <c r="J44" i="31" s="1"/>
  <c r="I43" i="31"/>
  <c r="H50" i="31"/>
  <c r="H51" i="31" s="1"/>
  <c r="F22" i="31" s="1"/>
  <c r="H48" i="31"/>
  <c r="H49" i="31" s="1"/>
  <c r="G47" i="28"/>
  <c r="G42" i="28"/>
  <c r="G43" i="28" s="1"/>
  <c r="G45" i="28"/>
  <c r="D44" i="22"/>
  <c r="G44" i="27"/>
  <c r="G45" i="27" s="1"/>
  <c r="G50" i="27"/>
  <c r="H49" i="27"/>
  <c r="H47" i="27"/>
  <c r="H48" i="27"/>
  <c r="I45" i="32"/>
  <c r="N73" i="4"/>
  <c r="E49" i="22"/>
  <c r="D49" i="22"/>
  <c r="L40" i="33"/>
  <c r="K41" i="33"/>
  <c r="K42" i="33" s="1"/>
  <c r="F49" i="29"/>
  <c r="G48" i="29"/>
  <c r="G47" i="29"/>
  <c r="G43" i="29"/>
  <c r="G44" i="29"/>
  <c r="G42" i="29"/>
  <c r="J44" i="32"/>
  <c r="J37" i="32"/>
  <c r="J40" i="32"/>
  <c r="J42" i="32" s="1"/>
  <c r="J41" i="32"/>
  <c r="J43" i="32" s="1"/>
  <c r="K36" i="32"/>
  <c r="L36" i="31"/>
  <c r="K37" i="31"/>
  <c r="H38" i="29"/>
  <c r="I37" i="29"/>
  <c r="I48" i="29" s="1"/>
  <c r="F48" i="28"/>
  <c r="F46" i="28"/>
  <c r="H40" i="28"/>
  <c r="H41" i="28" s="1"/>
  <c r="H43" i="27"/>
  <c r="I41" i="27"/>
  <c r="I42" i="27" s="1"/>
  <c r="J51" i="26"/>
  <c r="K50" i="26"/>
  <c r="F53" i="25"/>
  <c r="F54" i="25"/>
  <c r="F50" i="25"/>
  <c r="G41" i="25"/>
  <c r="G46" i="25"/>
  <c r="G45" i="25"/>
  <c r="G42" i="25"/>
  <c r="G43" i="25"/>
  <c r="G47" i="25"/>
  <c r="F49" i="25"/>
  <c r="H39" i="25"/>
  <c r="E48" i="23"/>
  <c r="E47" i="23"/>
  <c r="D54" i="24"/>
  <c r="D53" i="24"/>
  <c r="E46" i="24"/>
  <c r="F45" i="24"/>
  <c r="D51" i="24"/>
  <c r="D50" i="24"/>
  <c r="E39" i="23"/>
  <c r="E40" i="23"/>
  <c r="F37" i="23"/>
  <c r="F41" i="23" s="1"/>
  <c r="E47" i="22"/>
  <c r="D52" i="22"/>
  <c r="D54" i="22"/>
  <c r="E46" i="22"/>
  <c r="E52" i="22"/>
  <c r="E45" i="22"/>
  <c r="D56" i="22"/>
  <c r="E56" i="22"/>
  <c r="E44" i="22"/>
  <c r="F42" i="22"/>
  <c r="F49" i="22" s="1"/>
  <c r="E54" i="22"/>
  <c r="T28" i="34"/>
  <c r="K43" i="33" l="1"/>
  <c r="J43" i="31"/>
  <c r="I48" i="31"/>
  <c r="I49" i="31" s="1"/>
  <c r="I50" i="31"/>
  <c r="I51" i="31" s="1"/>
  <c r="K39" i="31"/>
  <c r="K41" i="31"/>
  <c r="K45" i="31" s="1"/>
  <c r="K40" i="31"/>
  <c r="K44" i="31" s="1"/>
  <c r="J47" i="31"/>
  <c r="H47" i="28"/>
  <c r="H42" i="28"/>
  <c r="H43" i="28" s="1"/>
  <c r="H45" i="28"/>
  <c r="H44" i="27"/>
  <c r="H45" i="27" s="1"/>
  <c r="H50" i="27"/>
  <c r="H47" i="29"/>
  <c r="F45" i="29"/>
  <c r="F46" i="29" s="1"/>
  <c r="I48" i="27"/>
  <c r="I47" i="27"/>
  <c r="I49" i="27"/>
  <c r="J45" i="32"/>
  <c r="O73" i="4"/>
  <c r="M40" i="33"/>
  <c r="L41" i="33"/>
  <c r="L42" i="33" s="1"/>
  <c r="G49" i="29"/>
  <c r="G45" i="29" s="1"/>
  <c r="G46" i="29" s="1"/>
  <c r="H48" i="29"/>
  <c r="I47" i="29"/>
  <c r="I49" i="29" s="1"/>
  <c r="I45" i="29" s="1"/>
  <c r="H42" i="29"/>
  <c r="H44" i="29"/>
  <c r="H43" i="29"/>
  <c r="K44" i="32"/>
  <c r="K37" i="32"/>
  <c r="K40" i="32"/>
  <c r="K42" i="32" s="1"/>
  <c r="K41" i="32"/>
  <c r="K43" i="32" s="1"/>
  <c r="L36" i="32"/>
  <c r="M36" i="31"/>
  <c r="L37" i="31"/>
  <c r="I38" i="29"/>
  <c r="J37" i="29"/>
  <c r="J48" i="29" s="1"/>
  <c r="G48" i="28"/>
  <c r="G46" i="28"/>
  <c r="I40" i="28"/>
  <c r="I41" i="28" s="1"/>
  <c r="I43" i="27"/>
  <c r="J41" i="27"/>
  <c r="J42" i="27" s="1"/>
  <c r="K51" i="26"/>
  <c r="L50" i="26"/>
  <c r="G53" i="25"/>
  <c r="G54" i="25"/>
  <c r="G50" i="25"/>
  <c r="H42" i="25"/>
  <c r="H47" i="25"/>
  <c r="H41" i="25"/>
  <c r="H46" i="25"/>
  <c r="H45" i="25"/>
  <c r="H43" i="25"/>
  <c r="G49" i="25"/>
  <c r="I39" i="25"/>
  <c r="F47" i="23"/>
  <c r="F48" i="23"/>
  <c r="D52" i="24"/>
  <c r="G45" i="24"/>
  <c r="F46" i="24"/>
  <c r="E49" i="24"/>
  <c r="E46" i="23"/>
  <c r="E45" i="23"/>
  <c r="E43" i="23"/>
  <c r="E44" i="23"/>
  <c r="F40" i="23"/>
  <c r="F39" i="23"/>
  <c r="G37" i="23"/>
  <c r="G41" i="23" s="1"/>
  <c r="F47" i="22"/>
  <c r="F54" i="22"/>
  <c r="G42" i="22"/>
  <c r="G49" i="22" s="1"/>
  <c r="F45" i="22"/>
  <c r="F44" i="22"/>
  <c r="F56" i="22"/>
  <c r="F52" i="22"/>
  <c r="F46" i="22"/>
  <c r="L43" i="33" l="1"/>
  <c r="H49" i="29"/>
  <c r="H45" i="29" s="1"/>
  <c r="H46" i="29" s="1"/>
  <c r="K47" i="31"/>
  <c r="K43" i="31"/>
  <c r="J48" i="31"/>
  <c r="J49" i="31" s="1"/>
  <c r="J50" i="31"/>
  <c r="J51" i="31" s="1"/>
  <c r="L39" i="31"/>
  <c r="L41" i="31"/>
  <c r="L45" i="31" s="1"/>
  <c r="L40" i="31"/>
  <c r="L44" i="31" s="1"/>
  <c r="I47" i="28"/>
  <c r="I42" i="28"/>
  <c r="I43" i="28" s="1"/>
  <c r="I45" i="28"/>
  <c r="I44" i="27"/>
  <c r="I45" i="27" s="1"/>
  <c r="I50" i="27"/>
  <c r="J49" i="27"/>
  <c r="J48" i="27"/>
  <c r="J47" i="27"/>
  <c r="K45" i="32"/>
  <c r="P73" i="4"/>
  <c r="M41" i="33"/>
  <c r="M42" i="33" s="1"/>
  <c r="N40" i="33"/>
  <c r="I43" i="29"/>
  <c r="I42" i="29"/>
  <c r="I44" i="29"/>
  <c r="J47" i="29"/>
  <c r="J49" i="29" s="1"/>
  <c r="J45" i="29" s="1"/>
  <c r="L44" i="32"/>
  <c r="L37" i="32"/>
  <c r="L40" i="32"/>
  <c r="L42" i="32" s="1"/>
  <c r="L41" i="32"/>
  <c r="L43" i="32" s="1"/>
  <c r="M36" i="32"/>
  <c r="H48" i="28"/>
  <c r="N36" i="31"/>
  <c r="M37" i="31"/>
  <c r="J38" i="29"/>
  <c r="K37" i="29"/>
  <c r="K48" i="29" s="1"/>
  <c r="H46" i="28"/>
  <c r="J40" i="28"/>
  <c r="J41" i="28" s="1"/>
  <c r="J43" i="27"/>
  <c r="K41" i="27"/>
  <c r="K42" i="27" s="1"/>
  <c r="M50" i="26"/>
  <c r="L51" i="26"/>
  <c r="H50" i="25"/>
  <c r="H53" i="25"/>
  <c r="H54" i="25"/>
  <c r="I42" i="25"/>
  <c r="I47" i="25"/>
  <c r="I41" i="25"/>
  <c r="I46" i="25"/>
  <c r="I45" i="25"/>
  <c r="I43" i="25"/>
  <c r="H49" i="25"/>
  <c r="J39" i="25"/>
  <c r="G48" i="23"/>
  <c r="G47" i="23"/>
  <c r="F49" i="24"/>
  <c r="H45" i="24"/>
  <c r="G46" i="24"/>
  <c r="G40" i="23"/>
  <c r="G39" i="23"/>
  <c r="F43" i="23"/>
  <c r="F44" i="23"/>
  <c r="F46" i="23"/>
  <c r="F45" i="23"/>
  <c r="H37" i="23"/>
  <c r="H41" i="23" s="1"/>
  <c r="G54" i="22"/>
  <c r="G45" i="22"/>
  <c r="G44" i="22"/>
  <c r="G56" i="22"/>
  <c r="G52" i="22"/>
  <c r="G47" i="22"/>
  <c r="G46" i="22"/>
  <c r="H42" i="22"/>
  <c r="H49" i="22" s="1"/>
  <c r="M43" i="33" l="1"/>
  <c r="L43" i="31"/>
  <c r="K50" i="31"/>
  <c r="K51" i="31" s="1"/>
  <c r="K48" i="31"/>
  <c r="K49" i="31" s="1"/>
  <c r="L47" i="31"/>
  <c r="M39" i="31"/>
  <c r="M41" i="31"/>
  <c r="M45" i="31" s="1"/>
  <c r="M40" i="31"/>
  <c r="M44" i="31" s="1"/>
  <c r="J44" i="27"/>
  <c r="J45" i="27" s="1"/>
  <c r="J47" i="28"/>
  <c r="J42" i="28"/>
  <c r="J43" i="28" s="1"/>
  <c r="J45" i="28"/>
  <c r="J50" i="27"/>
  <c r="I46" i="29"/>
  <c r="L45" i="32"/>
  <c r="F22" i="32" s="1"/>
  <c r="Q73" i="4"/>
  <c r="K47" i="27"/>
  <c r="K49" i="27"/>
  <c r="K48" i="27"/>
  <c r="N41" i="33"/>
  <c r="N42" i="33" s="1"/>
  <c r="N43" i="33" s="1"/>
  <c r="O40" i="33"/>
  <c r="K47" i="29"/>
  <c r="K49" i="29" s="1"/>
  <c r="K45" i="29" s="1"/>
  <c r="J42" i="29"/>
  <c r="J43" i="29"/>
  <c r="J44" i="29"/>
  <c r="I48" i="28"/>
  <c r="M37" i="32"/>
  <c r="M40" i="32"/>
  <c r="M42" i="32" s="1"/>
  <c r="M41" i="32"/>
  <c r="M43" i="32" s="1"/>
  <c r="M44" i="32"/>
  <c r="N36" i="32"/>
  <c r="N37" i="31"/>
  <c r="O36" i="31"/>
  <c r="K38" i="29"/>
  <c r="L37" i="29"/>
  <c r="L48" i="29" s="1"/>
  <c r="I46" i="28"/>
  <c r="K40" i="28"/>
  <c r="K41" i="28" s="1"/>
  <c r="K43" i="27"/>
  <c r="L41" i="27"/>
  <c r="L42" i="27" s="1"/>
  <c r="M51" i="26"/>
  <c r="N50" i="26"/>
  <c r="I50" i="25"/>
  <c r="I53" i="25"/>
  <c r="I54" i="25"/>
  <c r="J47" i="25"/>
  <c r="J42" i="25"/>
  <c r="J45" i="25"/>
  <c r="J41" i="25"/>
  <c r="J46" i="25"/>
  <c r="J43" i="25"/>
  <c r="I49" i="25"/>
  <c r="K39" i="25"/>
  <c r="H48" i="23"/>
  <c r="H47" i="23"/>
  <c r="G49" i="24"/>
  <c r="I45" i="24"/>
  <c r="H46" i="24"/>
  <c r="H49" i="24" s="1"/>
  <c r="H40" i="23"/>
  <c r="H39" i="23"/>
  <c r="G43" i="23"/>
  <c r="G44" i="23"/>
  <c r="G45" i="23"/>
  <c r="G46" i="23"/>
  <c r="I37" i="23"/>
  <c r="I41" i="23" s="1"/>
  <c r="D51" i="22"/>
  <c r="H54" i="22"/>
  <c r="I42" i="22"/>
  <c r="I49" i="22" s="1"/>
  <c r="H44" i="22"/>
  <c r="H56" i="22"/>
  <c r="H45" i="22"/>
  <c r="H52" i="22"/>
  <c r="H46" i="22"/>
  <c r="H47" i="22"/>
  <c r="E38" i="21"/>
  <c r="E11" i="21"/>
  <c r="D43" i="21" s="1"/>
  <c r="E10" i="21"/>
  <c r="E9" i="21"/>
  <c r="D41" i="21" s="1"/>
  <c r="E8" i="21"/>
  <c r="D45" i="20"/>
  <c r="E45" i="20" s="1"/>
  <c r="F45" i="20" s="1"/>
  <c r="G45" i="20" s="1"/>
  <c r="H45" i="20" s="1"/>
  <c r="I45" i="20" s="1"/>
  <c r="J45" i="20" s="1"/>
  <c r="K45" i="20" s="1"/>
  <c r="L45" i="20" s="1"/>
  <c r="M45" i="20" s="1"/>
  <c r="N45" i="20" s="1"/>
  <c r="O45" i="20" s="1"/>
  <c r="P45" i="20" s="1"/>
  <c r="Q45" i="20" s="1"/>
  <c r="R45" i="20" s="1"/>
  <c r="S45" i="20" s="1"/>
  <c r="T45" i="20" s="1"/>
  <c r="U45" i="20" s="1"/>
  <c r="V45" i="20" s="1"/>
  <c r="W45" i="20" s="1"/>
  <c r="X45" i="20" s="1"/>
  <c r="Y45" i="20" s="1"/>
  <c r="Z45" i="20" s="1"/>
  <c r="AA45" i="20" s="1"/>
  <c r="AB45" i="20" s="1"/>
  <c r="AC45" i="20" s="1"/>
  <c r="AD45" i="20" s="1"/>
  <c r="AE45" i="20" s="1"/>
  <c r="AF45" i="20" s="1"/>
  <c r="AG45" i="20" s="1"/>
  <c r="AH45" i="20" s="1"/>
  <c r="AI45" i="20" s="1"/>
  <c r="AJ45" i="20" s="1"/>
  <c r="AK45" i="20" s="1"/>
  <c r="AL45" i="20" s="1"/>
  <c r="AM45" i="20" s="1"/>
  <c r="AN45" i="20" s="1"/>
  <c r="AO45" i="20" s="1"/>
  <c r="AP45" i="20" s="1"/>
  <c r="AQ45" i="20" s="1"/>
  <c r="AR45" i="20" s="1"/>
  <c r="AS45" i="20" s="1"/>
  <c r="AT45" i="20" s="1"/>
  <c r="AU45" i="20" s="1"/>
  <c r="AV45" i="20" s="1"/>
  <c r="H56" i="15"/>
  <c r="I56" i="15"/>
  <c r="J56" i="15"/>
  <c r="K56" i="15"/>
  <c r="L56" i="15"/>
  <c r="M56" i="15"/>
  <c r="N56" i="15"/>
  <c r="O56" i="15"/>
  <c r="P56" i="15"/>
  <c r="Q56" i="15"/>
  <c r="R56" i="15"/>
  <c r="S56" i="15"/>
  <c r="T56" i="15"/>
  <c r="U56" i="15"/>
  <c r="V56" i="15"/>
  <c r="W56" i="15"/>
  <c r="X56" i="15"/>
  <c r="Y56" i="15"/>
  <c r="Z56" i="15"/>
  <c r="AA56" i="15"/>
  <c r="AB56" i="15"/>
  <c r="AC56" i="15"/>
  <c r="AD56" i="15"/>
  <c r="AE56" i="15"/>
  <c r="AF56" i="15"/>
  <c r="AG56" i="15"/>
  <c r="AH56" i="15"/>
  <c r="AI56" i="15"/>
  <c r="AJ56" i="15"/>
  <c r="AK56" i="15"/>
  <c r="AL56" i="15"/>
  <c r="AM56" i="15"/>
  <c r="AN56" i="15"/>
  <c r="AO56" i="15"/>
  <c r="AP56" i="15"/>
  <c r="AQ56" i="15"/>
  <c r="AR56" i="15"/>
  <c r="AS56" i="15"/>
  <c r="AT56" i="15"/>
  <c r="AU56" i="15"/>
  <c r="AV56" i="15"/>
  <c r="AW56" i="15"/>
  <c r="AX56" i="15"/>
  <c r="AY56" i="15"/>
  <c r="F56" i="15"/>
  <c r="G56" i="15"/>
  <c r="G58" i="15"/>
  <c r="I13" i="15"/>
  <c r="F11" i="15"/>
  <c r="K11" i="15" s="1"/>
  <c r="G13" i="15"/>
  <c r="G11" i="15"/>
  <c r="H11" i="15" s="1"/>
  <c r="E13" i="15"/>
  <c r="C16" i="20"/>
  <c r="D13" i="20" s="1"/>
  <c r="E13" i="20" s="1"/>
  <c r="D43" i="20"/>
  <c r="C9" i="20"/>
  <c r="E3" i="20"/>
  <c r="B3" i="20"/>
  <c r="U11" i="34"/>
  <c r="T21" i="34"/>
  <c r="U21" i="34"/>
  <c r="M47" i="31" l="1"/>
  <c r="N39" i="31"/>
  <c r="N41" i="31"/>
  <c r="N45" i="31" s="1"/>
  <c r="N40" i="31"/>
  <c r="N44" i="31" s="1"/>
  <c r="M43" i="31"/>
  <c r="L48" i="31"/>
  <c r="L49" i="31" s="1"/>
  <c r="L50" i="31"/>
  <c r="L51" i="31" s="1"/>
  <c r="K47" i="28"/>
  <c r="K45" i="28"/>
  <c r="K42" i="28"/>
  <c r="K43" i="28" s="1"/>
  <c r="K44" i="27"/>
  <c r="K45" i="27" s="1"/>
  <c r="J46" i="29"/>
  <c r="L48" i="27"/>
  <c r="L47" i="27"/>
  <c r="L49" i="27"/>
  <c r="K50" i="27"/>
  <c r="M45" i="32"/>
  <c r="R73" i="4"/>
  <c r="J48" i="28"/>
  <c r="P40" i="33"/>
  <c r="O41" i="33"/>
  <c r="O42" i="33" s="1"/>
  <c r="O43" i="33" s="1"/>
  <c r="L47" i="29"/>
  <c r="L49" i="29" s="1"/>
  <c r="L45" i="29" s="1"/>
  <c r="K42" i="29"/>
  <c r="K44" i="29"/>
  <c r="K43" i="29"/>
  <c r="N40" i="32"/>
  <c r="N42" i="32" s="1"/>
  <c r="N44" i="32"/>
  <c r="N41" i="32"/>
  <c r="N43" i="32" s="1"/>
  <c r="N37" i="32"/>
  <c r="O36" i="32"/>
  <c r="O37" i="31"/>
  <c r="P36" i="31"/>
  <c r="L38" i="29"/>
  <c r="M37" i="29"/>
  <c r="M48" i="29" s="1"/>
  <c r="J46" i="28"/>
  <c r="L40" i="28"/>
  <c r="L41" i="28" s="1"/>
  <c r="L43" i="27"/>
  <c r="M41" i="27"/>
  <c r="M42" i="27" s="1"/>
  <c r="N51" i="26"/>
  <c r="O50" i="26"/>
  <c r="J53" i="25"/>
  <c r="J54" i="25"/>
  <c r="J50" i="25"/>
  <c r="J49" i="25"/>
  <c r="K42" i="25"/>
  <c r="K47" i="25"/>
  <c r="K41" i="25"/>
  <c r="K46" i="25"/>
  <c r="K43" i="25"/>
  <c r="K45" i="25"/>
  <c r="L39" i="25"/>
  <c r="I47" i="23"/>
  <c r="I48" i="23"/>
  <c r="N68" i="15"/>
  <c r="O63" i="15"/>
  <c r="P63" i="15"/>
  <c r="Q63" i="15"/>
  <c r="J45" i="24"/>
  <c r="I46" i="24"/>
  <c r="I40" i="23"/>
  <c r="I39" i="23"/>
  <c r="H43" i="23"/>
  <c r="H44" i="23"/>
  <c r="H46" i="23"/>
  <c r="H45" i="23"/>
  <c r="J37" i="23"/>
  <c r="J41" i="23" s="1"/>
  <c r="J42" i="22"/>
  <c r="J49" i="22" s="1"/>
  <c r="I46" i="22"/>
  <c r="I44" i="22"/>
  <c r="I56" i="22"/>
  <c r="I45" i="22"/>
  <c r="I52" i="22"/>
  <c r="I54" i="22"/>
  <c r="I47" i="22"/>
  <c r="E52" i="21"/>
  <c r="D52" i="21"/>
  <c r="D50" i="21"/>
  <c r="D48" i="21"/>
  <c r="E50" i="21"/>
  <c r="D42" i="21"/>
  <c r="E48" i="21"/>
  <c r="F38" i="21"/>
  <c r="D40" i="21"/>
  <c r="E40" i="21"/>
  <c r="E41" i="21"/>
  <c r="E43" i="21"/>
  <c r="E42" i="21"/>
  <c r="D12" i="20"/>
  <c r="E12" i="20" s="1"/>
  <c r="D14" i="20"/>
  <c r="E42" i="20"/>
  <c r="E43" i="20" s="1"/>
  <c r="N43" i="31" l="1"/>
  <c r="M50" i="31"/>
  <c r="M51" i="31" s="1"/>
  <c r="F23" i="31" s="1"/>
  <c r="M48" i="31"/>
  <c r="M49" i="31" s="1"/>
  <c r="N47" i="31"/>
  <c r="O39" i="31"/>
  <c r="O40" i="31"/>
  <c r="O44" i="31" s="1"/>
  <c r="O41" i="31"/>
  <c r="O45" i="31" s="1"/>
  <c r="L47" i="28"/>
  <c r="L45" i="28"/>
  <c r="L42" i="28"/>
  <c r="L43" i="28" s="1"/>
  <c r="L44" i="27"/>
  <c r="L45" i="27" s="1"/>
  <c r="K46" i="29"/>
  <c r="L50" i="27"/>
  <c r="M49" i="27"/>
  <c r="M47" i="27"/>
  <c r="M48" i="27"/>
  <c r="N45" i="32"/>
  <c r="S73" i="4"/>
  <c r="K48" i="28"/>
  <c r="Q40" i="33"/>
  <c r="P41" i="33"/>
  <c r="P42" i="33" s="1"/>
  <c r="P43" i="33" s="1"/>
  <c r="M47" i="29"/>
  <c r="M49" i="29" s="1"/>
  <c r="M45" i="29" s="1"/>
  <c r="L44" i="29"/>
  <c r="L42" i="29"/>
  <c r="L43" i="29"/>
  <c r="O40" i="32"/>
  <c r="O42" i="32" s="1"/>
  <c r="O41" i="32"/>
  <c r="O43" i="32" s="1"/>
  <c r="O37" i="32"/>
  <c r="P36" i="32"/>
  <c r="O44" i="32"/>
  <c r="P37" i="31"/>
  <c r="Q36" i="31"/>
  <c r="M38" i="29"/>
  <c r="N37" i="29"/>
  <c r="N48" i="29" s="1"/>
  <c r="K46" i="28"/>
  <c r="M40" i="28"/>
  <c r="M41" i="28" s="1"/>
  <c r="M43" i="27"/>
  <c r="N41" i="27"/>
  <c r="N42" i="27" s="1"/>
  <c r="O51" i="26"/>
  <c r="P50" i="26"/>
  <c r="K50" i="25"/>
  <c r="K54" i="25"/>
  <c r="K53" i="25"/>
  <c r="L43" i="25"/>
  <c r="L42" i="25"/>
  <c r="L47" i="25"/>
  <c r="L41" i="25"/>
  <c r="L46" i="25"/>
  <c r="L45" i="25"/>
  <c r="K49" i="25"/>
  <c r="M39" i="25"/>
  <c r="J47" i="23"/>
  <c r="J48" i="23"/>
  <c r="I49" i="24"/>
  <c r="K45" i="24"/>
  <c r="J46" i="24"/>
  <c r="J40" i="23"/>
  <c r="J39" i="23"/>
  <c r="I43" i="23"/>
  <c r="I44" i="23"/>
  <c r="I45" i="23"/>
  <c r="I46" i="23"/>
  <c r="K37" i="23"/>
  <c r="K41" i="23" s="1"/>
  <c r="J44" i="22"/>
  <c r="J56" i="22"/>
  <c r="J46" i="22"/>
  <c r="J45" i="22"/>
  <c r="J52" i="22"/>
  <c r="J47" i="22"/>
  <c r="K42" i="22"/>
  <c r="K49" i="22" s="1"/>
  <c r="J54" i="22"/>
  <c r="F50" i="21"/>
  <c r="F52" i="21"/>
  <c r="D45" i="21"/>
  <c r="F48" i="21"/>
  <c r="F42" i="21"/>
  <c r="F43" i="21"/>
  <c r="F41" i="21"/>
  <c r="F40" i="21"/>
  <c r="E45" i="21"/>
  <c r="G38" i="21"/>
  <c r="G52" i="21" s="1"/>
  <c r="E14" i="20"/>
  <c r="D46" i="20"/>
  <c r="F42" i="20"/>
  <c r="F43" i="20" s="1"/>
  <c r="U28" i="34"/>
  <c r="O47" i="31" l="1"/>
  <c r="P39" i="31"/>
  <c r="P41" i="31"/>
  <c r="P45" i="31" s="1"/>
  <c r="P40" i="31"/>
  <c r="P44" i="31" s="1"/>
  <c r="O43" i="31"/>
  <c r="N50" i="31"/>
  <c r="N51" i="31" s="1"/>
  <c r="N48" i="31"/>
  <c r="N49" i="31" s="1"/>
  <c r="M45" i="28"/>
  <c r="M42" i="28"/>
  <c r="M43" i="28" s="1"/>
  <c r="M47" i="28"/>
  <c r="M44" i="27"/>
  <c r="M45" i="27" s="1"/>
  <c r="M50" i="27"/>
  <c r="L48" i="28"/>
  <c r="N47" i="27"/>
  <c r="N49" i="27"/>
  <c r="N48" i="27"/>
  <c r="L46" i="29"/>
  <c r="O45" i="32"/>
  <c r="T73" i="4"/>
  <c r="R40" i="33"/>
  <c r="Q41" i="33"/>
  <c r="Q42" i="33" s="1"/>
  <c r="Q43" i="33" s="1"/>
  <c r="N47" i="29"/>
  <c r="N49" i="29" s="1"/>
  <c r="N45" i="29" s="1"/>
  <c r="M43" i="29"/>
  <c r="M42" i="29"/>
  <c r="M44" i="29"/>
  <c r="P40" i="32"/>
  <c r="P42" i="32" s="1"/>
  <c r="P41" i="32"/>
  <c r="P43" i="32" s="1"/>
  <c r="Q36" i="32"/>
  <c r="P44" i="32"/>
  <c r="P37" i="32"/>
  <c r="Q37" i="31"/>
  <c r="R36" i="31"/>
  <c r="N38" i="29"/>
  <c r="O37" i="29"/>
  <c r="O48" i="29" s="1"/>
  <c r="L46" i="28"/>
  <c r="N40" i="28"/>
  <c r="N41" i="28" s="1"/>
  <c r="N43" i="27"/>
  <c r="O41" i="27"/>
  <c r="O42" i="27" s="1"/>
  <c r="P51" i="26"/>
  <c r="Q50" i="26"/>
  <c r="L50" i="25"/>
  <c r="L53" i="25"/>
  <c r="L54" i="25"/>
  <c r="L49" i="25"/>
  <c r="M43" i="25"/>
  <c r="M42" i="25"/>
  <c r="M47" i="25"/>
  <c r="M41" i="25"/>
  <c r="M46" i="25"/>
  <c r="M45" i="25"/>
  <c r="N39" i="25"/>
  <c r="K48" i="23"/>
  <c r="K47" i="23"/>
  <c r="J49" i="24"/>
  <c r="L45" i="24"/>
  <c r="K46" i="24"/>
  <c r="K40" i="23"/>
  <c r="K39" i="23"/>
  <c r="J43" i="23"/>
  <c r="J44" i="23"/>
  <c r="J45" i="23"/>
  <c r="J46" i="23"/>
  <c r="L37" i="23"/>
  <c r="L41" i="23" s="1"/>
  <c r="K56" i="22"/>
  <c r="K45" i="22"/>
  <c r="K44" i="22"/>
  <c r="K46" i="22"/>
  <c r="K52" i="22"/>
  <c r="K47" i="22"/>
  <c r="K54" i="22"/>
  <c r="L42" i="22"/>
  <c r="L49" i="22" s="1"/>
  <c r="G50" i="21"/>
  <c r="G48" i="21"/>
  <c r="G43" i="21"/>
  <c r="G40" i="21"/>
  <c r="H38" i="21"/>
  <c r="H52" i="21" s="1"/>
  <c r="G42" i="21"/>
  <c r="G41" i="21"/>
  <c r="F45" i="21"/>
  <c r="E46" i="20"/>
  <c r="E47" i="20" s="1"/>
  <c r="D47" i="20"/>
  <c r="G42" i="20"/>
  <c r="G43" i="20" s="1"/>
  <c r="M48" i="28" l="1"/>
  <c r="P43" i="31"/>
  <c r="O50" i="31"/>
  <c r="O51" i="31" s="1"/>
  <c r="O48" i="31"/>
  <c r="O49" i="31" s="1"/>
  <c r="P47" i="31"/>
  <c r="Q39" i="31"/>
  <c r="Q40" i="31"/>
  <c r="Q44" i="31" s="1"/>
  <c r="Q41" i="31"/>
  <c r="Q45" i="31" s="1"/>
  <c r="N47" i="28"/>
  <c r="N42" i="28"/>
  <c r="N43" i="28" s="1"/>
  <c r="N45" i="28"/>
  <c r="N44" i="27"/>
  <c r="N45" i="27" s="1"/>
  <c r="M49" i="25"/>
  <c r="N50" i="27"/>
  <c r="M46" i="29"/>
  <c r="O47" i="27"/>
  <c r="O49" i="27"/>
  <c r="O48" i="27"/>
  <c r="P45" i="32"/>
  <c r="U73" i="4"/>
  <c r="H42" i="21"/>
  <c r="H40" i="21"/>
  <c r="H41" i="21"/>
  <c r="S40" i="33"/>
  <c r="R41" i="33"/>
  <c r="R42" i="33" s="1"/>
  <c r="R43" i="33" s="1"/>
  <c r="O47" i="29"/>
  <c r="O49" i="29" s="1"/>
  <c r="O45" i="29" s="1"/>
  <c r="N42" i="29"/>
  <c r="N43" i="29"/>
  <c r="N44" i="29"/>
  <c r="Q41" i="32"/>
  <c r="Q43" i="32" s="1"/>
  <c r="Q44" i="32"/>
  <c r="R36" i="32"/>
  <c r="Q37" i="32"/>
  <c r="Q40" i="32"/>
  <c r="Q42" i="32" s="1"/>
  <c r="R37" i="31"/>
  <c r="S36" i="31"/>
  <c r="O38" i="29"/>
  <c r="P37" i="29"/>
  <c r="P48" i="29" s="1"/>
  <c r="M46" i="28"/>
  <c r="O40" i="28"/>
  <c r="O41" i="28" s="1"/>
  <c r="O43" i="27"/>
  <c r="P41" i="27"/>
  <c r="P42" i="27" s="1"/>
  <c r="Q51" i="26"/>
  <c r="R50" i="26"/>
  <c r="M50" i="25"/>
  <c r="M54" i="25"/>
  <c r="M53" i="25"/>
  <c r="N43" i="25"/>
  <c r="N45" i="25"/>
  <c r="N42" i="25"/>
  <c r="N47" i="25"/>
  <c r="N46" i="25"/>
  <c r="N41" i="25"/>
  <c r="O39" i="25"/>
  <c r="L48" i="23"/>
  <c r="L47" i="23"/>
  <c r="K49" i="24"/>
  <c r="L46" i="24"/>
  <c r="M45" i="24"/>
  <c r="K43" i="23"/>
  <c r="K44" i="23"/>
  <c r="L40" i="23"/>
  <c r="L39" i="23"/>
  <c r="K45" i="23"/>
  <c r="K46" i="23"/>
  <c r="M37" i="23"/>
  <c r="M41" i="23" s="1"/>
  <c r="L44" i="22"/>
  <c r="L56" i="22"/>
  <c r="L45" i="22"/>
  <c r="L52" i="22"/>
  <c r="L46" i="22"/>
  <c r="L47" i="22"/>
  <c r="L54" i="22"/>
  <c r="M42" i="22"/>
  <c r="M49" i="22" s="1"/>
  <c r="I38" i="21"/>
  <c r="I52" i="21" s="1"/>
  <c r="H43" i="21"/>
  <c r="H50" i="21"/>
  <c r="H48" i="21"/>
  <c r="G45" i="21"/>
  <c r="E49" i="20"/>
  <c r="F46" i="20"/>
  <c r="F47" i="20" s="1"/>
  <c r="D49" i="20"/>
  <c r="H42" i="20"/>
  <c r="H43" i="20" s="1"/>
  <c r="N48" i="28" l="1"/>
  <c r="Q47" i="31"/>
  <c r="R39" i="31"/>
  <c r="R40" i="31"/>
  <c r="R44" i="31" s="1"/>
  <c r="R41" i="31"/>
  <c r="R45" i="31" s="1"/>
  <c r="Q43" i="31"/>
  <c r="P50" i="31"/>
  <c r="P51" i="31" s="1"/>
  <c r="P48" i="31"/>
  <c r="P49" i="31" s="1"/>
  <c r="O47" i="28"/>
  <c r="O45" i="28"/>
  <c r="O42" i="28"/>
  <c r="O43" i="28" s="1"/>
  <c r="I48" i="21"/>
  <c r="O44" i="27"/>
  <c r="O45" i="27" s="1"/>
  <c r="N49" i="25"/>
  <c r="O50" i="27"/>
  <c r="N46" i="29"/>
  <c r="I50" i="21"/>
  <c r="P49" i="27"/>
  <c r="P48" i="27"/>
  <c r="P47" i="27"/>
  <c r="Q45" i="32"/>
  <c r="F23" i="32" s="1"/>
  <c r="V73" i="4"/>
  <c r="H45" i="21"/>
  <c r="J38" i="21"/>
  <c r="J52" i="21" s="1"/>
  <c r="I43" i="21"/>
  <c r="I42" i="21"/>
  <c r="I41" i="21"/>
  <c r="I40" i="21"/>
  <c r="T40" i="33"/>
  <c r="S41" i="33"/>
  <c r="S42" i="33" s="1"/>
  <c r="S43" i="33" s="1"/>
  <c r="P47" i="29"/>
  <c r="P49" i="29" s="1"/>
  <c r="P45" i="29" s="1"/>
  <c r="O42" i="29"/>
  <c r="O44" i="29"/>
  <c r="O43" i="29"/>
  <c r="R41" i="32"/>
  <c r="R43" i="32" s="1"/>
  <c r="R37" i="32"/>
  <c r="R40" i="32"/>
  <c r="R42" i="32" s="1"/>
  <c r="S36" i="32"/>
  <c r="R44" i="32"/>
  <c r="S37" i="31"/>
  <c r="T36" i="31"/>
  <c r="P38" i="29"/>
  <c r="Q37" i="29"/>
  <c r="Q48" i="29" s="1"/>
  <c r="N46" i="28"/>
  <c r="P40" i="28"/>
  <c r="P41" i="28" s="1"/>
  <c r="P43" i="27"/>
  <c r="Q41" i="27"/>
  <c r="Q42" i="27" s="1"/>
  <c r="S50" i="26"/>
  <c r="R51" i="26"/>
  <c r="N54" i="25"/>
  <c r="N53" i="25"/>
  <c r="N50" i="25"/>
  <c r="O43" i="25"/>
  <c r="O46" i="25"/>
  <c r="O42" i="25"/>
  <c r="O47" i="25"/>
  <c r="O41" i="25"/>
  <c r="O45" i="25"/>
  <c r="P39" i="25"/>
  <c r="M48" i="23"/>
  <c r="M47" i="23"/>
  <c r="M46" i="24"/>
  <c r="N45" i="24"/>
  <c r="L49" i="24"/>
  <c r="L45" i="23"/>
  <c r="L46" i="23"/>
  <c r="M40" i="23"/>
  <c r="M39" i="23"/>
  <c r="L43" i="23"/>
  <c r="L44" i="23"/>
  <c r="N37" i="23"/>
  <c r="N41" i="23" s="1"/>
  <c r="M44" i="22"/>
  <c r="M56" i="22"/>
  <c r="M45" i="22"/>
  <c r="M52" i="22"/>
  <c r="M46" i="22"/>
  <c r="M47" i="22"/>
  <c r="M54" i="22"/>
  <c r="N42" i="22"/>
  <c r="N49" i="22" s="1"/>
  <c r="G46" i="20"/>
  <c r="G47" i="20" s="1"/>
  <c r="F49" i="20"/>
  <c r="I42" i="20"/>
  <c r="I43" i="20" s="1"/>
  <c r="V11" i="34"/>
  <c r="O48" i="28" l="1"/>
  <c r="S39" i="31"/>
  <c r="S40" i="31"/>
  <c r="S44" i="31" s="1"/>
  <c r="S41" i="31"/>
  <c r="S45" i="31" s="1"/>
  <c r="R47" i="31"/>
  <c r="R43" i="31"/>
  <c r="Q50" i="31"/>
  <c r="Q51" i="31" s="1"/>
  <c r="Q48" i="31"/>
  <c r="Q49" i="31" s="1"/>
  <c r="P42" i="28"/>
  <c r="P43" i="28" s="1"/>
  <c r="P47" i="28"/>
  <c r="P45" i="28"/>
  <c r="P44" i="27"/>
  <c r="P45" i="27" s="1"/>
  <c r="K38" i="21"/>
  <c r="K52" i="21" s="1"/>
  <c r="J43" i="21"/>
  <c r="J41" i="21"/>
  <c r="J40" i="21"/>
  <c r="J42" i="21"/>
  <c r="J48" i="21"/>
  <c r="P50" i="27"/>
  <c r="I45" i="21"/>
  <c r="R45" i="32"/>
  <c r="W73" i="4"/>
  <c r="J50" i="21"/>
  <c r="Q49" i="27"/>
  <c r="Q48" i="27"/>
  <c r="Q47" i="27"/>
  <c r="O46" i="29"/>
  <c r="U40" i="33"/>
  <c r="T41" i="33"/>
  <c r="T42" i="33" s="1"/>
  <c r="T43" i="33" s="1"/>
  <c r="Q47" i="29"/>
  <c r="Q49" i="29" s="1"/>
  <c r="Q45" i="29" s="1"/>
  <c r="P43" i="29"/>
  <c r="P44" i="29"/>
  <c r="P42" i="29"/>
  <c r="S41" i="32"/>
  <c r="S43" i="32" s="1"/>
  <c r="T36" i="32"/>
  <c r="S37" i="32"/>
  <c r="S44" i="32"/>
  <c r="S40" i="32"/>
  <c r="S42" i="32" s="1"/>
  <c r="U36" i="31"/>
  <c r="T37" i="31"/>
  <c r="Q38" i="29"/>
  <c r="Q40" i="28"/>
  <c r="Q41" i="28" s="1"/>
  <c r="R37" i="29"/>
  <c r="R48" i="29" s="1"/>
  <c r="O46" i="28"/>
  <c r="Q43" i="27"/>
  <c r="R41" i="27"/>
  <c r="R42" i="27" s="1"/>
  <c r="T50" i="26"/>
  <c r="S51" i="26"/>
  <c r="O50" i="25"/>
  <c r="O54" i="25"/>
  <c r="O53" i="25"/>
  <c r="O49" i="25"/>
  <c r="P45" i="25"/>
  <c r="P43" i="25"/>
  <c r="P42" i="25"/>
  <c r="P47" i="25"/>
  <c r="P41" i="25"/>
  <c r="P46" i="25"/>
  <c r="Q39" i="25"/>
  <c r="N48" i="23"/>
  <c r="N47" i="23"/>
  <c r="O45" i="24"/>
  <c r="N46" i="24"/>
  <c r="M49" i="24"/>
  <c r="N40" i="23"/>
  <c r="N39" i="23"/>
  <c r="M46" i="23"/>
  <c r="M45" i="23"/>
  <c r="M43" i="23"/>
  <c r="M44" i="23"/>
  <c r="O37" i="23"/>
  <c r="O41" i="23" s="1"/>
  <c r="N56" i="22"/>
  <c r="N52" i="22"/>
  <c r="N46" i="22"/>
  <c r="N47" i="22"/>
  <c r="N54" i="22"/>
  <c r="O42" i="22"/>
  <c r="O49" i="22" s="1"/>
  <c r="N44" i="22"/>
  <c r="N45" i="22"/>
  <c r="G49" i="20"/>
  <c r="H46" i="20"/>
  <c r="H47" i="20" s="1"/>
  <c r="H49" i="20" s="1"/>
  <c r="F27" i="20" s="1"/>
  <c r="J42" i="20"/>
  <c r="J43" i="20" s="1"/>
  <c r="T22" i="34"/>
  <c r="P48" i="28" l="1"/>
  <c r="J45" i="21"/>
  <c r="K48" i="21"/>
  <c r="S47" i="31"/>
  <c r="T39" i="31"/>
  <c r="T40" i="31"/>
  <c r="T44" i="31" s="1"/>
  <c r="T41" i="31"/>
  <c r="T45" i="31" s="1"/>
  <c r="K41" i="21"/>
  <c r="S43" i="31"/>
  <c r="R50" i="31"/>
  <c r="R51" i="31" s="1"/>
  <c r="F24" i="31" s="1"/>
  <c r="R48" i="31"/>
  <c r="R49" i="31" s="1"/>
  <c r="K40" i="21"/>
  <c r="K50" i="21"/>
  <c r="K43" i="21"/>
  <c r="K42" i="21"/>
  <c r="Q47" i="28"/>
  <c r="Q45" i="28"/>
  <c r="Q42" i="28"/>
  <c r="Q43" i="28" s="1"/>
  <c r="Q44" i="27"/>
  <c r="Q45" i="27" s="1"/>
  <c r="L38" i="21"/>
  <c r="L52" i="21" s="1"/>
  <c r="Q50" i="27"/>
  <c r="R47" i="27"/>
  <c r="R49" i="27"/>
  <c r="R48" i="27"/>
  <c r="S45" i="32"/>
  <c r="X73" i="4"/>
  <c r="U41" i="33"/>
  <c r="U42" i="33" s="1"/>
  <c r="U43" i="33" s="1"/>
  <c r="V40" i="33"/>
  <c r="P46" i="29"/>
  <c r="Q42" i="29"/>
  <c r="Q43" i="29"/>
  <c r="Q44" i="29"/>
  <c r="R47" i="29"/>
  <c r="R49" i="29" s="1"/>
  <c r="R45" i="29" s="1"/>
  <c r="U36" i="32"/>
  <c r="T44" i="32"/>
  <c r="T37" i="32"/>
  <c r="T41" i="32"/>
  <c r="T43" i="32" s="1"/>
  <c r="T40" i="32"/>
  <c r="T42" i="32" s="1"/>
  <c r="V36" i="31"/>
  <c r="U37" i="31"/>
  <c r="R38" i="29"/>
  <c r="R40" i="28"/>
  <c r="R41" i="28" s="1"/>
  <c r="S37" i="29"/>
  <c r="S48" i="29" s="1"/>
  <c r="P46" i="28"/>
  <c r="R43" i="27"/>
  <c r="S41" i="27"/>
  <c r="S42" i="27" s="1"/>
  <c r="U50" i="26"/>
  <c r="T51" i="26"/>
  <c r="P54" i="25"/>
  <c r="P53" i="25"/>
  <c r="P49" i="25"/>
  <c r="P50" i="25"/>
  <c r="Q45" i="25"/>
  <c r="Q43" i="25"/>
  <c r="Q42" i="25"/>
  <c r="Q47" i="25"/>
  <c r="Q41" i="25"/>
  <c r="Q46" i="25"/>
  <c r="R39" i="25"/>
  <c r="O48" i="23"/>
  <c r="O47" i="23"/>
  <c r="P45" i="24"/>
  <c r="O46" i="24"/>
  <c r="N49" i="24"/>
  <c r="O39" i="23"/>
  <c r="O40" i="23"/>
  <c r="N43" i="23"/>
  <c r="N44" i="23"/>
  <c r="N45" i="23"/>
  <c r="N46" i="23"/>
  <c r="P37" i="23"/>
  <c r="P41" i="23" s="1"/>
  <c r="O45" i="22"/>
  <c r="O52" i="22"/>
  <c r="O46" i="22"/>
  <c r="P42" i="22"/>
  <c r="P49" i="22" s="1"/>
  <c r="O47" i="22"/>
  <c r="O54" i="22"/>
  <c r="O56" i="22"/>
  <c r="O44" i="22"/>
  <c r="I46" i="20"/>
  <c r="I47" i="20" s="1"/>
  <c r="K42" i="20"/>
  <c r="K43" i="20" s="1"/>
  <c r="V28" i="34"/>
  <c r="L41" i="21" l="1"/>
  <c r="L42" i="21"/>
  <c r="Q48" i="28"/>
  <c r="L40" i="21"/>
  <c r="M38" i="21"/>
  <c r="K45" i="21"/>
  <c r="T43" i="31"/>
  <c r="S50" i="31"/>
  <c r="S51" i="31" s="1"/>
  <c r="S48" i="31"/>
  <c r="S49" i="31" s="1"/>
  <c r="L43" i="21"/>
  <c r="T47" i="31"/>
  <c r="U39" i="31"/>
  <c r="U40" i="31"/>
  <c r="U44" i="31" s="1"/>
  <c r="U41" i="31"/>
  <c r="U45" i="31" s="1"/>
  <c r="L50" i="21"/>
  <c r="L48" i="21"/>
  <c r="R45" i="28"/>
  <c r="R42" i="28"/>
  <c r="R43" i="28" s="1"/>
  <c r="R47" i="28"/>
  <c r="R44" i="27"/>
  <c r="R45" i="27" s="1"/>
  <c r="Q46" i="29"/>
  <c r="S48" i="27"/>
  <c r="S47" i="27"/>
  <c r="S49" i="27"/>
  <c r="T45" i="32"/>
  <c r="Y73" i="4"/>
  <c r="R50" i="27"/>
  <c r="V41" i="33"/>
  <c r="V42" i="33" s="1"/>
  <c r="V43" i="33" s="1"/>
  <c r="W40" i="33"/>
  <c r="R42" i="29"/>
  <c r="R44" i="29"/>
  <c r="R43" i="29"/>
  <c r="S47" i="29"/>
  <c r="S49" i="29" s="1"/>
  <c r="S45" i="29" s="1"/>
  <c r="S40" i="28"/>
  <c r="S41" i="28" s="1"/>
  <c r="V36" i="32"/>
  <c r="U37" i="32"/>
  <c r="U40" i="32"/>
  <c r="U42" i="32" s="1"/>
  <c r="U44" i="32"/>
  <c r="U41" i="32"/>
  <c r="U43" i="32" s="1"/>
  <c r="W36" i="31"/>
  <c r="V37" i="31"/>
  <c r="S38" i="29"/>
  <c r="T37" i="29"/>
  <c r="T48" i="29" s="1"/>
  <c r="Q46" i="28"/>
  <c r="S43" i="27"/>
  <c r="T41" i="27"/>
  <c r="T42" i="27" s="1"/>
  <c r="V50" i="26"/>
  <c r="U51" i="26"/>
  <c r="Q54" i="25"/>
  <c r="Q53" i="25"/>
  <c r="Q49" i="25"/>
  <c r="Q50" i="25"/>
  <c r="R45" i="25"/>
  <c r="R47" i="25"/>
  <c r="R43" i="25"/>
  <c r="R46" i="25"/>
  <c r="R41" i="25"/>
  <c r="R42" i="25"/>
  <c r="S39" i="25"/>
  <c r="P48" i="23"/>
  <c r="P47" i="23"/>
  <c r="O49" i="24"/>
  <c r="Q45" i="24"/>
  <c r="P46" i="24"/>
  <c r="P39" i="23"/>
  <c r="P40" i="23"/>
  <c r="O46" i="23"/>
  <c r="O45" i="23"/>
  <c r="O44" i="23"/>
  <c r="O43" i="23"/>
  <c r="Q37" i="23"/>
  <c r="Q41" i="23" s="1"/>
  <c r="P45" i="22"/>
  <c r="P52" i="22"/>
  <c r="P46" i="22"/>
  <c r="P47" i="22"/>
  <c r="P54" i="22"/>
  <c r="Q42" i="22"/>
  <c r="Q49" i="22" s="1"/>
  <c r="P44" i="22"/>
  <c r="P56" i="22"/>
  <c r="M50" i="21"/>
  <c r="M48" i="21"/>
  <c r="J46" i="20"/>
  <c r="J47" i="20" s="1"/>
  <c r="J49" i="20" s="1"/>
  <c r="I49" i="20"/>
  <c r="L42" i="20"/>
  <c r="L43" i="20" s="1"/>
  <c r="L45" i="21" l="1"/>
  <c r="M52" i="21"/>
  <c r="M41" i="21"/>
  <c r="M43" i="21"/>
  <c r="M40" i="21"/>
  <c r="R48" i="28"/>
  <c r="M42" i="21"/>
  <c r="N38" i="21"/>
  <c r="N43" i="21" s="1"/>
  <c r="V39" i="31"/>
  <c r="V41" i="31"/>
  <c r="V45" i="31" s="1"/>
  <c r="V40" i="31"/>
  <c r="V44" i="31" s="1"/>
  <c r="U47" i="31"/>
  <c r="U43" i="31"/>
  <c r="T48" i="31"/>
  <c r="T49" i="31" s="1"/>
  <c r="T50" i="31"/>
  <c r="T51" i="31" s="1"/>
  <c r="S45" i="28"/>
  <c r="S42" i="28"/>
  <c r="S43" i="28" s="1"/>
  <c r="S47" i="28"/>
  <c r="S44" i="27"/>
  <c r="S45" i="27" s="1"/>
  <c r="T40" i="28"/>
  <c r="T41" i="28" s="1"/>
  <c r="S50" i="27"/>
  <c r="U45" i="32"/>
  <c r="Z73" i="4"/>
  <c r="T48" i="27"/>
  <c r="T47" i="27"/>
  <c r="T49" i="27"/>
  <c r="W41" i="33"/>
  <c r="W42" i="33" s="1"/>
  <c r="W43" i="33" s="1"/>
  <c r="X40" i="33"/>
  <c r="R46" i="29"/>
  <c r="T47" i="29"/>
  <c r="T49" i="29" s="1"/>
  <c r="T45" i="29" s="1"/>
  <c r="S44" i="29"/>
  <c r="S43" i="29"/>
  <c r="S42" i="29"/>
  <c r="W36" i="32"/>
  <c r="V37" i="32"/>
  <c r="V44" i="32"/>
  <c r="V40" i="32"/>
  <c r="V42" i="32" s="1"/>
  <c r="V41" i="32"/>
  <c r="V43" i="32" s="1"/>
  <c r="X36" i="31"/>
  <c r="W37" i="31"/>
  <c r="T38" i="29"/>
  <c r="U37" i="29"/>
  <c r="U48" i="29" s="1"/>
  <c r="R46" i="28"/>
  <c r="T43" i="27"/>
  <c r="U41" i="27"/>
  <c r="U42" i="27" s="1"/>
  <c r="W50" i="26"/>
  <c r="V51" i="26"/>
  <c r="R53" i="25"/>
  <c r="R54" i="25"/>
  <c r="R50" i="25"/>
  <c r="S47" i="25"/>
  <c r="S45" i="25"/>
  <c r="S43" i="25"/>
  <c r="S46" i="25"/>
  <c r="S42" i="25"/>
  <c r="S41" i="25"/>
  <c r="R49" i="25"/>
  <c r="T39" i="25"/>
  <c r="Q48" i="23"/>
  <c r="Q47" i="23"/>
  <c r="P49" i="24"/>
  <c r="R45" i="24"/>
  <c r="Q46" i="24"/>
  <c r="Q40" i="23"/>
  <c r="Q39" i="23"/>
  <c r="P46" i="23"/>
  <c r="P45" i="23"/>
  <c r="P44" i="23"/>
  <c r="P43" i="23"/>
  <c r="R37" i="23"/>
  <c r="R41" i="23" s="1"/>
  <c r="Q52" i="22"/>
  <c r="R42" i="22"/>
  <c r="R49" i="22" s="1"/>
  <c r="Q47" i="22"/>
  <c r="Q46" i="22"/>
  <c r="Q54" i="22"/>
  <c r="Q45" i="22"/>
  <c r="Q44" i="22"/>
  <c r="Q56" i="22"/>
  <c r="K46" i="20"/>
  <c r="K47" i="20" s="1"/>
  <c r="M42" i="20"/>
  <c r="M43" i="20" s="1"/>
  <c r="M45" i="21" l="1"/>
  <c r="S48" i="28"/>
  <c r="N52" i="21"/>
  <c r="N48" i="21"/>
  <c r="N41" i="21"/>
  <c r="N50" i="21"/>
  <c r="N42" i="21"/>
  <c r="O38" i="21"/>
  <c r="N40" i="21"/>
  <c r="W39" i="31"/>
  <c r="W41" i="31"/>
  <c r="W45" i="31" s="1"/>
  <c r="W40" i="31"/>
  <c r="W44" i="31" s="1"/>
  <c r="V43" i="31"/>
  <c r="U48" i="31"/>
  <c r="U49" i="31" s="1"/>
  <c r="U50" i="31"/>
  <c r="U51" i="31" s="1"/>
  <c r="V47" i="31"/>
  <c r="T47" i="28"/>
  <c r="T45" i="28"/>
  <c r="T42" i="28"/>
  <c r="T43" i="28" s="1"/>
  <c r="T44" i="27"/>
  <c r="T45" i="27" s="1"/>
  <c r="U40" i="28"/>
  <c r="U41" i="28" s="1"/>
  <c r="V45" i="32"/>
  <c r="F24" i="32" s="1"/>
  <c r="AA73" i="4"/>
  <c r="S46" i="29"/>
  <c r="U49" i="27"/>
  <c r="U48" i="27"/>
  <c r="U47" i="27"/>
  <c r="T50" i="27"/>
  <c r="X41" i="33"/>
  <c r="X42" i="33" s="1"/>
  <c r="X43" i="33" s="1"/>
  <c r="Y40" i="33"/>
  <c r="U47" i="29"/>
  <c r="U49" i="29" s="1"/>
  <c r="U45" i="29" s="1"/>
  <c r="T44" i="29"/>
  <c r="T43" i="29"/>
  <c r="T42" i="29"/>
  <c r="X36" i="32"/>
  <c r="W44" i="32"/>
  <c r="W37" i="32"/>
  <c r="W40" i="32"/>
  <c r="W42" i="32" s="1"/>
  <c r="W41" i="32"/>
  <c r="W43" i="32" s="1"/>
  <c r="Y36" i="31"/>
  <c r="X37" i="31"/>
  <c r="U38" i="29"/>
  <c r="V37" i="29"/>
  <c r="V48" i="29" s="1"/>
  <c r="S46" i="28"/>
  <c r="U43" i="27"/>
  <c r="V41" i="27"/>
  <c r="V42" i="27" s="1"/>
  <c r="X50" i="26"/>
  <c r="W51" i="26"/>
  <c r="S54" i="25"/>
  <c r="S53" i="25"/>
  <c r="S49" i="25"/>
  <c r="S50" i="25"/>
  <c r="T41" i="25"/>
  <c r="T46" i="25"/>
  <c r="T45" i="25"/>
  <c r="T43" i="25"/>
  <c r="T42" i="25"/>
  <c r="T47" i="25"/>
  <c r="U39" i="25"/>
  <c r="R47" i="23"/>
  <c r="R48" i="23"/>
  <c r="Q49" i="24"/>
  <c r="R46" i="24"/>
  <c r="S45" i="24"/>
  <c r="Q46" i="23"/>
  <c r="Q45" i="23"/>
  <c r="R40" i="23"/>
  <c r="R39" i="23"/>
  <c r="Q44" i="23"/>
  <c r="Q43" i="23"/>
  <c r="S37" i="23"/>
  <c r="S41" i="23" s="1"/>
  <c r="R52" i="22"/>
  <c r="R46" i="22"/>
  <c r="R47" i="22"/>
  <c r="R54" i="22"/>
  <c r="S42" i="22"/>
  <c r="S49" i="22" s="1"/>
  <c r="R44" i="22"/>
  <c r="R56" i="22"/>
  <c r="R45" i="22"/>
  <c r="L46" i="20"/>
  <c r="L47" i="20" s="1"/>
  <c r="L49" i="20" s="1"/>
  <c r="K49" i="20"/>
  <c r="N42" i="20"/>
  <c r="N43" i="20" s="1"/>
  <c r="W11" i="34"/>
  <c r="T48" i="28" l="1"/>
  <c r="N45" i="21"/>
  <c r="O52" i="21"/>
  <c r="O50" i="21"/>
  <c r="O42" i="21"/>
  <c r="O41" i="21"/>
  <c r="O48" i="21"/>
  <c r="O43" i="21"/>
  <c r="P38" i="21"/>
  <c r="O40" i="21"/>
  <c r="W43" i="31"/>
  <c r="V48" i="31"/>
  <c r="V49" i="31" s="1"/>
  <c r="V50" i="31"/>
  <c r="V51" i="31" s="1"/>
  <c r="X39" i="31"/>
  <c r="X41" i="31"/>
  <c r="X45" i="31" s="1"/>
  <c r="X40" i="31"/>
  <c r="X44" i="31" s="1"/>
  <c r="W47" i="31"/>
  <c r="V40" i="28"/>
  <c r="V41" i="28" s="1"/>
  <c r="U42" i="28"/>
  <c r="U43" i="28" s="1"/>
  <c r="U47" i="28"/>
  <c r="U45" i="28"/>
  <c r="U44" i="27"/>
  <c r="U45" i="27" s="1"/>
  <c r="U50" i="27"/>
  <c r="W45" i="32"/>
  <c r="AB73" i="4"/>
  <c r="T46" i="29"/>
  <c r="V48" i="27"/>
  <c r="V49" i="27"/>
  <c r="V47" i="27"/>
  <c r="M46" i="20"/>
  <c r="M47" i="20" s="1"/>
  <c r="M49" i="20" s="1"/>
  <c r="F28" i="20" s="1"/>
  <c r="Z40" i="33"/>
  <c r="Y41" i="33"/>
  <c r="Y42" i="33" s="1"/>
  <c r="Y43" i="33" s="1"/>
  <c r="V47" i="29"/>
  <c r="V49" i="29" s="1"/>
  <c r="V45" i="29" s="1"/>
  <c r="U42" i="29"/>
  <c r="U44" i="29"/>
  <c r="U43" i="29"/>
  <c r="Y36" i="32"/>
  <c r="X44" i="32"/>
  <c r="X41" i="32"/>
  <c r="X43" i="32" s="1"/>
  <c r="X37" i="32"/>
  <c r="X40" i="32"/>
  <c r="X42" i="32" s="1"/>
  <c r="Z36" i="31"/>
  <c r="Y37" i="31"/>
  <c r="V38" i="29"/>
  <c r="W37" i="29"/>
  <c r="W48" i="29" s="1"/>
  <c r="T46" i="28"/>
  <c r="V43" i="27"/>
  <c r="W41" i="27"/>
  <c r="W42" i="27" s="1"/>
  <c r="X51" i="26"/>
  <c r="Y50" i="26"/>
  <c r="T54" i="25"/>
  <c r="T53" i="25"/>
  <c r="T50" i="25"/>
  <c r="U41" i="25"/>
  <c r="U46" i="25"/>
  <c r="U45" i="25"/>
  <c r="U43" i="25"/>
  <c r="U42" i="25"/>
  <c r="U47" i="25"/>
  <c r="T49" i="25"/>
  <c r="V39" i="25"/>
  <c r="S48" i="23"/>
  <c r="S47" i="23"/>
  <c r="S46" i="24"/>
  <c r="T45" i="24"/>
  <c r="R49" i="24"/>
  <c r="S40" i="23"/>
  <c r="S39" i="23"/>
  <c r="R44" i="23"/>
  <c r="R43" i="23"/>
  <c r="R46" i="23"/>
  <c r="R45" i="23"/>
  <c r="T37" i="23"/>
  <c r="T41" i="23" s="1"/>
  <c r="S46" i="22"/>
  <c r="S47" i="22"/>
  <c r="S44" i="22"/>
  <c r="S54" i="22"/>
  <c r="T42" i="22"/>
  <c r="T49" i="22" s="1"/>
  <c r="S56" i="22"/>
  <c r="S45" i="22"/>
  <c r="S52" i="22"/>
  <c r="O42" i="20"/>
  <c r="O43" i="20" s="1"/>
  <c r="U22" i="34"/>
  <c r="O45" i="21" l="1"/>
  <c r="P52" i="21"/>
  <c r="P50" i="21"/>
  <c r="P48" i="21"/>
  <c r="P40" i="21"/>
  <c r="P41" i="21"/>
  <c r="P43" i="21"/>
  <c r="Q38" i="21"/>
  <c r="P42" i="21"/>
  <c r="U48" i="28"/>
  <c r="W40" i="28"/>
  <c r="W41" i="28" s="1"/>
  <c r="X47" i="31"/>
  <c r="X43" i="31"/>
  <c r="W48" i="31"/>
  <c r="W49" i="31" s="1"/>
  <c r="W50" i="31"/>
  <c r="W51" i="31" s="1"/>
  <c r="F25" i="31" s="1"/>
  <c r="Y39" i="31"/>
  <c r="Y41" i="31"/>
  <c r="Y45" i="31" s="1"/>
  <c r="Y40" i="31"/>
  <c r="Y44" i="31" s="1"/>
  <c r="V47" i="28"/>
  <c r="V45" i="28"/>
  <c r="V42" i="28"/>
  <c r="V43" i="28" s="1"/>
  <c r="N46" i="20"/>
  <c r="N47" i="20" s="1"/>
  <c r="N49" i="20" s="1"/>
  <c r="V44" i="27"/>
  <c r="V45" i="27" s="1"/>
  <c r="V50" i="27"/>
  <c r="W49" i="27"/>
  <c r="W47" i="27"/>
  <c r="W48" i="27"/>
  <c r="X45" i="32"/>
  <c r="AC73" i="4"/>
  <c r="AA40" i="33"/>
  <c r="Z41" i="33"/>
  <c r="Z42" i="33" s="1"/>
  <c r="Z43" i="33" s="1"/>
  <c r="U46" i="29"/>
  <c r="W47" i="29"/>
  <c r="W49" i="29" s="1"/>
  <c r="W45" i="29" s="1"/>
  <c r="V43" i="29"/>
  <c r="V44" i="29"/>
  <c r="V42" i="29"/>
  <c r="Z36" i="32"/>
  <c r="Y44" i="32"/>
  <c r="Y37" i="32"/>
  <c r="Y40" i="32"/>
  <c r="Y42" i="32" s="1"/>
  <c r="Y41" i="32"/>
  <c r="Y43" i="32" s="1"/>
  <c r="Z37" i="31"/>
  <c r="AA36" i="31"/>
  <c r="W38" i="29"/>
  <c r="X37" i="29"/>
  <c r="X48" i="29" s="1"/>
  <c r="U46" i="28"/>
  <c r="X40" i="28"/>
  <c r="X41" i="28" s="1"/>
  <c r="W43" i="27"/>
  <c r="X41" i="27"/>
  <c r="X42" i="27" s="1"/>
  <c r="Y51" i="26"/>
  <c r="Z50" i="26"/>
  <c r="U54" i="25"/>
  <c r="U53" i="25"/>
  <c r="U50" i="25"/>
  <c r="V46" i="25"/>
  <c r="V41" i="25"/>
  <c r="V42" i="25"/>
  <c r="V47" i="25"/>
  <c r="V45" i="25"/>
  <c r="V43" i="25"/>
  <c r="U49" i="25"/>
  <c r="W39" i="25"/>
  <c r="T47" i="23"/>
  <c r="T48" i="23"/>
  <c r="S49" i="24"/>
  <c r="T46" i="24"/>
  <c r="U45" i="24"/>
  <c r="T40" i="23"/>
  <c r="T39" i="23"/>
  <c r="S44" i="23"/>
  <c r="S43" i="23"/>
  <c r="S46" i="23"/>
  <c r="S45" i="23"/>
  <c r="U37" i="23"/>
  <c r="U41" i="23" s="1"/>
  <c r="T47" i="22"/>
  <c r="T54" i="22"/>
  <c r="U42" i="22"/>
  <c r="U49" i="22" s="1"/>
  <c r="T44" i="22"/>
  <c r="T56" i="22"/>
  <c r="T45" i="22"/>
  <c r="T46" i="22"/>
  <c r="T52" i="22"/>
  <c r="Q50" i="21"/>
  <c r="Q48" i="21"/>
  <c r="P42" i="20"/>
  <c r="P43" i="20" s="1"/>
  <c r="W28" i="34"/>
  <c r="P45" i="21" l="1"/>
  <c r="Q52" i="21"/>
  <c r="R38" i="21"/>
  <c r="R52" i="21" s="1"/>
  <c r="Q43" i="21"/>
  <c r="Q42" i="21"/>
  <c r="Q40" i="21"/>
  <c r="Q41" i="21"/>
  <c r="W47" i="28"/>
  <c r="W45" i="28"/>
  <c r="W42" i="28"/>
  <c r="W43" i="28" s="1"/>
  <c r="V48" i="28"/>
  <c r="O46" i="20"/>
  <c r="O47" i="20" s="1"/>
  <c r="O49" i="20" s="1"/>
  <c r="Y47" i="31"/>
  <c r="Z39" i="31"/>
  <c r="Z41" i="31"/>
  <c r="Z45" i="31" s="1"/>
  <c r="Z40" i="31"/>
  <c r="Z44" i="31" s="1"/>
  <c r="Y43" i="31"/>
  <c r="X48" i="31"/>
  <c r="X49" i="31" s="1"/>
  <c r="X50" i="31"/>
  <c r="X51" i="31" s="1"/>
  <c r="X45" i="28"/>
  <c r="X42" i="28"/>
  <c r="X43" i="28" s="1"/>
  <c r="X47" i="28"/>
  <c r="W44" i="27"/>
  <c r="W45" i="27" s="1"/>
  <c r="V46" i="29"/>
  <c r="Y45" i="32"/>
  <c r="AD73" i="4"/>
  <c r="W50" i="27"/>
  <c r="X47" i="27"/>
  <c r="X48" i="27"/>
  <c r="X49" i="27"/>
  <c r="AB40" i="33"/>
  <c r="AA41" i="33"/>
  <c r="AA42" i="33" s="1"/>
  <c r="AA43" i="33" s="1"/>
  <c r="X47" i="29"/>
  <c r="X49" i="29" s="1"/>
  <c r="X45" i="29" s="1"/>
  <c r="W44" i="29"/>
  <c r="W42" i="29"/>
  <c r="W43" i="29"/>
  <c r="Z44" i="32"/>
  <c r="Z37" i="32"/>
  <c r="AA36" i="32"/>
  <c r="Z40" i="32"/>
  <c r="Z42" i="32" s="1"/>
  <c r="Z41" i="32"/>
  <c r="Z43" i="32" s="1"/>
  <c r="AB36" i="31"/>
  <c r="AA37" i="31"/>
  <c r="X38" i="29"/>
  <c r="Y37" i="29"/>
  <c r="Y48" i="29" s="1"/>
  <c r="V46" i="28"/>
  <c r="Y40" i="28"/>
  <c r="Y41" i="28" s="1"/>
  <c r="X43" i="27"/>
  <c r="Y41" i="27"/>
  <c r="Y42" i="27" s="1"/>
  <c r="Z51" i="26"/>
  <c r="AA50" i="26"/>
  <c r="V53" i="25"/>
  <c r="V54" i="25"/>
  <c r="V50" i="25"/>
  <c r="W42" i="25"/>
  <c r="W41" i="25"/>
  <c r="W46" i="25"/>
  <c r="W45" i="25"/>
  <c r="W43" i="25"/>
  <c r="W47" i="25"/>
  <c r="V49" i="25"/>
  <c r="X39" i="25"/>
  <c r="U47" i="23"/>
  <c r="U48" i="23"/>
  <c r="U46" i="24"/>
  <c r="V45" i="24"/>
  <c r="T49" i="24"/>
  <c r="U39" i="23"/>
  <c r="U40" i="23"/>
  <c r="T44" i="23"/>
  <c r="T43" i="23"/>
  <c r="T46" i="23"/>
  <c r="T45" i="23"/>
  <c r="V37" i="23"/>
  <c r="V41" i="23" s="1"/>
  <c r="U47" i="22"/>
  <c r="U54" i="22"/>
  <c r="V42" i="22"/>
  <c r="V49" i="22" s="1"/>
  <c r="U44" i="22"/>
  <c r="U56" i="22"/>
  <c r="U45" i="22"/>
  <c r="U52" i="22"/>
  <c r="U46" i="22"/>
  <c r="R50" i="21"/>
  <c r="R48" i="21"/>
  <c r="Q45" i="21"/>
  <c r="R40" i="21"/>
  <c r="R43" i="21"/>
  <c r="S38" i="21"/>
  <c r="S52" i="21" s="1"/>
  <c r="R41" i="21"/>
  <c r="R42" i="21"/>
  <c r="Q42" i="20"/>
  <c r="Q43" i="20" s="1"/>
  <c r="P46" i="20" l="1"/>
  <c r="P47" i="20" s="1"/>
  <c r="W48" i="28"/>
  <c r="X48" i="28" s="1"/>
  <c r="Z43" i="31"/>
  <c r="Y48" i="31"/>
  <c r="Y49" i="31" s="1"/>
  <c r="Y50" i="31"/>
  <c r="Y51" i="31" s="1"/>
  <c r="Z47" i="31"/>
  <c r="AA39" i="31"/>
  <c r="AA41" i="31"/>
  <c r="AA45" i="31" s="1"/>
  <c r="AA40" i="31"/>
  <c r="AA44" i="31" s="1"/>
  <c r="Y47" i="28"/>
  <c r="Y42" i="28"/>
  <c r="Y43" i="28" s="1"/>
  <c r="Y45" i="28"/>
  <c r="X44" i="27"/>
  <c r="X45" i="27" s="1"/>
  <c r="Z45" i="32"/>
  <c r="AE73" i="4"/>
  <c r="Y48" i="27"/>
  <c r="Y49" i="27"/>
  <c r="Y47" i="27"/>
  <c r="X50" i="27"/>
  <c r="AB41" i="33"/>
  <c r="AB42" i="33" s="1"/>
  <c r="AB43" i="33" s="1"/>
  <c r="AC40" i="33"/>
  <c r="W46" i="29"/>
  <c r="Y47" i="29"/>
  <c r="Y49" i="29" s="1"/>
  <c r="Y45" i="29" s="1"/>
  <c r="X44" i="29"/>
  <c r="X43" i="29"/>
  <c r="X42" i="29"/>
  <c r="AA44" i="32"/>
  <c r="AA37" i="32"/>
  <c r="AA40" i="32"/>
  <c r="AA42" i="32" s="1"/>
  <c r="AA41" i="32"/>
  <c r="AA43" i="32" s="1"/>
  <c r="AB36" i="32"/>
  <c r="AC36" i="31"/>
  <c r="AB37" i="31"/>
  <c r="Y38" i="29"/>
  <c r="Z37" i="29"/>
  <c r="Z48" i="29" s="1"/>
  <c r="W46" i="28"/>
  <c r="Z40" i="28"/>
  <c r="Z41" i="28" s="1"/>
  <c r="Y43" i="27"/>
  <c r="Z41" i="27"/>
  <c r="Z42" i="27" s="1"/>
  <c r="AA51" i="26"/>
  <c r="AB50" i="26"/>
  <c r="W53" i="25"/>
  <c r="W54" i="25"/>
  <c r="W50" i="25"/>
  <c r="X42" i="25"/>
  <c r="X47" i="25"/>
  <c r="X41" i="25"/>
  <c r="X46" i="25"/>
  <c r="X45" i="25"/>
  <c r="X43" i="25"/>
  <c r="W49" i="25"/>
  <c r="Y39" i="25"/>
  <c r="V47" i="23"/>
  <c r="V48" i="23"/>
  <c r="U49" i="24"/>
  <c r="W45" i="24"/>
  <c r="V46" i="24"/>
  <c r="U45" i="23"/>
  <c r="U46" i="23"/>
  <c r="V40" i="23"/>
  <c r="V39" i="23"/>
  <c r="U44" i="23"/>
  <c r="U43" i="23"/>
  <c r="W37" i="23"/>
  <c r="W41" i="23" s="1"/>
  <c r="V47" i="22"/>
  <c r="V54" i="22"/>
  <c r="W42" i="22"/>
  <c r="W49" i="22" s="1"/>
  <c r="V44" i="22"/>
  <c r="V45" i="22"/>
  <c r="V56" i="22"/>
  <c r="V52" i="22"/>
  <c r="V46" i="22"/>
  <c r="S50" i="21"/>
  <c r="S48" i="21"/>
  <c r="R45" i="21"/>
  <c r="S43" i="21"/>
  <c r="T38" i="21"/>
  <c r="T52" i="21" s="1"/>
  <c r="S40" i="21"/>
  <c r="S41" i="21"/>
  <c r="S42" i="21"/>
  <c r="P49" i="20"/>
  <c r="Q46" i="20"/>
  <c r="Q47" i="20" s="1"/>
  <c r="R42" i="20"/>
  <c r="R43" i="20" s="1"/>
  <c r="Y48" i="28" l="1"/>
  <c r="AA47" i="31"/>
  <c r="AB39" i="31"/>
  <c r="AB41" i="31"/>
  <c r="AB45" i="31" s="1"/>
  <c r="AB40" i="31"/>
  <c r="AB44" i="31" s="1"/>
  <c r="AA43" i="31"/>
  <c r="Z48" i="31"/>
  <c r="Z49" i="31" s="1"/>
  <c r="Z50" i="31"/>
  <c r="Z51" i="31" s="1"/>
  <c r="Y44" i="27"/>
  <c r="Y45" i="27" s="1"/>
  <c r="Z47" i="28"/>
  <c r="Z45" i="28"/>
  <c r="Z42" i="28"/>
  <c r="Z43" i="28" s="1"/>
  <c r="Y50" i="27"/>
  <c r="X46" i="29"/>
  <c r="Z48" i="27"/>
  <c r="Z47" i="27"/>
  <c r="Z49" i="27"/>
  <c r="AA45" i="32"/>
  <c r="F25" i="32" s="1"/>
  <c r="AF73" i="4"/>
  <c r="AC41" i="33"/>
  <c r="AC42" i="33" s="1"/>
  <c r="AC43" i="33" s="1"/>
  <c r="AD40" i="33"/>
  <c r="Z47" i="29"/>
  <c r="Z49" i="29" s="1"/>
  <c r="Z45" i="29" s="1"/>
  <c r="Y42" i="29"/>
  <c r="Y44" i="29"/>
  <c r="Y43" i="29"/>
  <c r="AB44" i="32"/>
  <c r="AB37" i="32"/>
  <c r="AB40" i="32"/>
  <c r="AB42" i="32" s="1"/>
  <c r="AB41" i="32"/>
  <c r="AB43" i="32" s="1"/>
  <c r="AC36" i="32"/>
  <c r="AD36" i="31"/>
  <c r="AC37" i="31"/>
  <c r="Z38" i="29"/>
  <c r="AA37" i="29"/>
  <c r="AA48" i="29" s="1"/>
  <c r="X46" i="28"/>
  <c r="AA40" i="28"/>
  <c r="AA41" i="28" s="1"/>
  <c r="Z43" i="27"/>
  <c r="AA41" i="27"/>
  <c r="AA42" i="27" s="1"/>
  <c r="AC50" i="26"/>
  <c r="AB51" i="26"/>
  <c r="X50" i="25"/>
  <c r="X53" i="25"/>
  <c r="X54" i="25"/>
  <c r="Y42" i="25"/>
  <c r="Y47" i="25"/>
  <c r="Y41" i="25"/>
  <c r="Y46" i="25"/>
  <c r="Y45" i="25"/>
  <c r="Y43" i="25"/>
  <c r="X49" i="25"/>
  <c r="Z39" i="25"/>
  <c r="W47" i="23"/>
  <c r="W48" i="23"/>
  <c r="X45" i="24"/>
  <c r="W46" i="24"/>
  <c r="V49" i="24"/>
  <c r="W40" i="23"/>
  <c r="W39" i="23"/>
  <c r="V44" i="23"/>
  <c r="V43" i="23"/>
  <c r="V46" i="23"/>
  <c r="V45" i="23"/>
  <c r="X37" i="23"/>
  <c r="X41" i="23" s="1"/>
  <c r="W54" i="22"/>
  <c r="W45" i="22"/>
  <c r="W44" i="22"/>
  <c r="W56" i="22"/>
  <c r="X42" i="22"/>
  <c r="X49" i="22" s="1"/>
  <c r="W52" i="22"/>
  <c r="W46" i="22"/>
  <c r="W47" i="22"/>
  <c r="T50" i="21"/>
  <c r="T48" i="21"/>
  <c r="S45" i="21"/>
  <c r="U38" i="21"/>
  <c r="U52" i="21" s="1"/>
  <c r="T40" i="21"/>
  <c r="T41" i="21"/>
  <c r="T42" i="21"/>
  <c r="T43" i="21"/>
  <c r="Q49" i="20"/>
  <c r="R46" i="20"/>
  <c r="R47" i="20" s="1"/>
  <c r="S42" i="20"/>
  <c r="S43" i="20" s="1"/>
  <c r="X11" i="34"/>
  <c r="Z48" i="28" l="1"/>
  <c r="AB43" i="31"/>
  <c r="AA48" i="31"/>
  <c r="AA49" i="31" s="1"/>
  <c r="AA50" i="31"/>
  <c r="AA51" i="31" s="1"/>
  <c r="AC39" i="31"/>
  <c r="AC41" i="31"/>
  <c r="AC45" i="31" s="1"/>
  <c r="AC40" i="31"/>
  <c r="AC44" i="31" s="1"/>
  <c r="AB47" i="31"/>
  <c r="AA45" i="28"/>
  <c r="AA42" i="28"/>
  <c r="AA43" i="28" s="1"/>
  <c r="C26" i="28" s="1"/>
  <c r="AA47" i="28"/>
  <c r="Z44" i="27"/>
  <c r="Z45" i="27" s="1"/>
  <c r="AB45" i="32"/>
  <c r="AG73" i="4"/>
  <c r="AA47" i="27"/>
  <c r="AA49" i="27"/>
  <c r="AA48" i="27"/>
  <c r="Z50" i="27"/>
  <c r="AD41" i="33"/>
  <c r="AD42" i="33" s="1"/>
  <c r="AD43" i="33" s="1"/>
  <c r="AE40" i="33"/>
  <c r="Y46" i="29"/>
  <c r="AA47" i="29"/>
  <c r="AA49" i="29" s="1"/>
  <c r="Z42" i="29"/>
  <c r="Z44" i="29"/>
  <c r="Z43" i="29"/>
  <c r="AC37" i="32"/>
  <c r="AC40" i="32"/>
  <c r="AC42" i="32" s="1"/>
  <c r="AD36" i="32"/>
  <c r="AC41" i="32"/>
  <c r="AC43" i="32" s="1"/>
  <c r="AC44" i="32"/>
  <c r="AA49" i="28"/>
  <c r="AA74" i="26"/>
  <c r="AA56" i="25"/>
  <c r="AD37" i="31"/>
  <c r="AE36" i="31"/>
  <c r="AA38" i="29"/>
  <c r="AB37" i="29"/>
  <c r="AB48" i="29" s="1"/>
  <c r="Y46" i="28"/>
  <c r="AB40" i="28"/>
  <c r="AB41" i="28" s="1"/>
  <c r="AA43" i="27"/>
  <c r="C29" i="27" s="1"/>
  <c r="AB41" i="27"/>
  <c r="AB42" i="27" s="1"/>
  <c r="AD50" i="26"/>
  <c r="AC51" i="26"/>
  <c r="Y50" i="25"/>
  <c r="Y53" i="25"/>
  <c r="Y54" i="25"/>
  <c r="Y49" i="25"/>
  <c r="Z42" i="25"/>
  <c r="Z47" i="25"/>
  <c r="Z41" i="25"/>
  <c r="Z46" i="25"/>
  <c r="Z45" i="25"/>
  <c r="Z43" i="25"/>
  <c r="AA39" i="25"/>
  <c r="X48" i="23"/>
  <c r="X47" i="23"/>
  <c r="W49" i="24"/>
  <c r="Y45" i="24"/>
  <c r="X46" i="24"/>
  <c r="W43" i="23"/>
  <c r="W44" i="23"/>
  <c r="X40" i="23"/>
  <c r="X39" i="23"/>
  <c r="W46" i="23"/>
  <c r="W45" i="23"/>
  <c r="Y37" i="23"/>
  <c r="Y41" i="23" s="1"/>
  <c r="X54" i="22"/>
  <c r="Y42" i="22"/>
  <c r="Y49" i="22" s="1"/>
  <c r="X45" i="22"/>
  <c r="X44" i="22"/>
  <c r="X56" i="22"/>
  <c r="X52" i="22"/>
  <c r="X46" i="22"/>
  <c r="X47" i="22"/>
  <c r="U50" i="21"/>
  <c r="U48" i="21"/>
  <c r="T45" i="21"/>
  <c r="V38" i="21"/>
  <c r="V52" i="21" s="1"/>
  <c r="U40" i="21"/>
  <c r="U41" i="21"/>
  <c r="U42" i="21"/>
  <c r="U43" i="21"/>
  <c r="R49" i="20"/>
  <c r="F29" i="20" s="1"/>
  <c r="S46" i="20"/>
  <c r="S47" i="20" s="1"/>
  <c r="T42" i="20"/>
  <c r="T43" i="20" s="1"/>
  <c r="E10" i="34"/>
  <c r="V22" i="34"/>
  <c r="AA48" i="28" l="1"/>
  <c r="AD39" i="31"/>
  <c r="AD41" i="31"/>
  <c r="AD45" i="31" s="1"/>
  <c r="AD40" i="31"/>
  <c r="AD44" i="31" s="1"/>
  <c r="AC47" i="31"/>
  <c r="AC43" i="31"/>
  <c r="AB50" i="31"/>
  <c r="AB51" i="31" s="1"/>
  <c r="F26" i="31" s="1"/>
  <c r="AB48" i="31"/>
  <c r="AB49" i="31" s="1"/>
  <c r="C24" i="31" s="1"/>
  <c r="C25" i="28"/>
  <c r="AB47" i="28"/>
  <c r="AB45" i="28"/>
  <c r="AB42" i="28"/>
  <c r="AB43" i="28" s="1"/>
  <c r="AA44" i="27"/>
  <c r="AA45" i="27" s="1"/>
  <c r="C28" i="27" s="1"/>
  <c r="AA45" i="29"/>
  <c r="C27" i="29"/>
  <c r="AB48" i="27"/>
  <c r="AB47" i="27"/>
  <c r="AB49" i="27"/>
  <c r="AA50" i="27"/>
  <c r="C31" i="27" s="1"/>
  <c r="AC45" i="32"/>
  <c r="AH73" i="4"/>
  <c r="C28" i="28"/>
  <c r="AF40" i="33"/>
  <c r="AE41" i="33"/>
  <c r="AE42" i="33" s="1"/>
  <c r="AE43" i="33" s="1"/>
  <c r="Z46" i="29"/>
  <c r="AB47" i="29"/>
  <c r="AB49" i="29" s="1"/>
  <c r="AB45" i="29" s="1"/>
  <c r="AA43" i="29"/>
  <c r="AA42" i="29"/>
  <c r="AA44" i="29"/>
  <c r="AD40" i="32"/>
  <c r="AD42" i="32" s="1"/>
  <c r="AD37" i="32"/>
  <c r="AD41" i="32"/>
  <c r="AD43" i="32" s="1"/>
  <c r="AE36" i="32"/>
  <c r="AD44" i="32"/>
  <c r="AE37" i="31"/>
  <c r="AF36" i="31"/>
  <c r="AB38" i="29"/>
  <c r="AC37" i="29"/>
  <c r="AC48" i="29" s="1"/>
  <c r="Z46" i="28"/>
  <c r="AC40" i="28"/>
  <c r="AC41" i="28" s="1"/>
  <c r="AB43" i="27"/>
  <c r="AC41" i="27"/>
  <c r="AC42" i="27" s="1"/>
  <c r="AE50" i="26"/>
  <c r="AD51" i="26"/>
  <c r="Z54" i="25"/>
  <c r="Z53" i="25"/>
  <c r="Z50" i="25"/>
  <c r="Z49" i="25"/>
  <c r="AA43" i="25"/>
  <c r="AA42" i="25"/>
  <c r="AA47" i="25"/>
  <c r="AA41" i="25"/>
  <c r="AA46" i="25"/>
  <c r="AA45" i="25"/>
  <c r="AB39" i="25"/>
  <c r="Y48" i="23"/>
  <c r="Y47" i="23"/>
  <c r="Z45" i="24"/>
  <c r="Y46" i="24"/>
  <c r="X49" i="24"/>
  <c r="Y39" i="23"/>
  <c r="Y40" i="23"/>
  <c r="X43" i="23"/>
  <c r="X44" i="23"/>
  <c r="X45" i="23"/>
  <c r="X46" i="23"/>
  <c r="Z37" i="23"/>
  <c r="Z41" i="23" s="1"/>
  <c r="Z42" i="22"/>
  <c r="Z49" i="22" s="1"/>
  <c r="Y44" i="22"/>
  <c r="Y46" i="22"/>
  <c r="Y56" i="22"/>
  <c r="Y45" i="22"/>
  <c r="Y52" i="22"/>
  <c r="Y47" i="22"/>
  <c r="Y54" i="22"/>
  <c r="V50" i="21"/>
  <c r="V48" i="21"/>
  <c r="U45" i="21"/>
  <c r="W38" i="21"/>
  <c r="W52" i="21" s="1"/>
  <c r="V40" i="21"/>
  <c r="V41" i="21"/>
  <c r="V42" i="21"/>
  <c r="V43" i="21"/>
  <c r="S49" i="20"/>
  <c r="T46" i="20"/>
  <c r="T47" i="20" s="1"/>
  <c r="U42" i="20"/>
  <c r="U43" i="20" s="1"/>
  <c r="D10" i="34"/>
  <c r="X28" i="34"/>
  <c r="F28" i="34"/>
  <c r="F8" i="34"/>
  <c r="G10" i="34"/>
  <c r="AB48" i="28" l="1"/>
  <c r="C27" i="28"/>
  <c r="AD47" i="31"/>
  <c r="C25" i="31"/>
  <c r="AE39" i="31"/>
  <c r="AE41" i="31"/>
  <c r="AE45" i="31" s="1"/>
  <c r="AE40" i="31"/>
  <c r="AE44" i="31" s="1"/>
  <c r="AD43" i="31"/>
  <c r="AC48" i="31"/>
  <c r="AC49" i="31" s="1"/>
  <c r="AC50" i="31"/>
  <c r="AC51" i="31" s="1"/>
  <c r="AC42" i="28"/>
  <c r="AC43" i="28" s="1"/>
  <c r="AC47" i="28"/>
  <c r="AC45" i="28"/>
  <c r="AB44" i="27"/>
  <c r="AB45" i="27" s="1"/>
  <c r="AB50" i="27"/>
  <c r="AD45" i="32"/>
  <c r="AI73" i="4"/>
  <c r="AC49" i="27"/>
  <c r="AC47" i="27"/>
  <c r="AC48" i="27"/>
  <c r="AG40" i="33"/>
  <c r="AF41" i="33"/>
  <c r="AF42" i="33" s="1"/>
  <c r="AF43" i="33" s="1"/>
  <c r="AA46" i="29"/>
  <c r="C24" i="29" s="1"/>
  <c r="C22" i="29"/>
  <c r="AC47" i="29"/>
  <c r="AC49" i="29" s="1"/>
  <c r="AC45" i="29" s="1"/>
  <c r="AB43" i="29"/>
  <c r="AB44" i="29"/>
  <c r="AB42" i="29"/>
  <c r="AE40" i="32"/>
  <c r="AE42" i="32" s="1"/>
  <c r="AE41" i="32"/>
  <c r="AE43" i="32" s="1"/>
  <c r="AF36" i="32"/>
  <c r="AE37" i="32"/>
  <c r="AE44" i="32"/>
  <c r="AF37" i="31"/>
  <c r="AG36" i="31"/>
  <c r="AC38" i="29"/>
  <c r="AD37" i="29"/>
  <c r="AD48" i="29" s="1"/>
  <c r="C23" i="29"/>
  <c r="AA46" i="28"/>
  <c r="AD40" i="28"/>
  <c r="AD41" i="28" s="1"/>
  <c r="AC43" i="27"/>
  <c r="AD41" i="27"/>
  <c r="AD42" i="27" s="1"/>
  <c r="AF50" i="26"/>
  <c r="AE51" i="26"/>
  <c r="AA50" i="25"/>
  <c r="AA53" i="25"/>
  <c r="AA54" i="25"/>
  <c r="AA49" i="25"/>
  <c r="C24" i="25" s="1"/>
  <c r="AB43" i="25"/>
  <c r="AB42" i="25"/>
  <c r="AB47" i="25"/>
  <c r="AB41" i="25"/>
  <c r="AB46" i="25"/>
  <c r="AB45" i="25"/>
  <c r="AC39" i="25"/>
  <c r="Z47" i="23"/>
  <c r="Z48" i="23"/>
  <c r="Y49" i="24"/>
  <c r="AA45" i="24"/>
  <c r="Z46" i="24"/>
  <c r="Z39" i="23"/>
  <c r="Z40" i="23"/>
  <c r="Y45" i="23"/>
  <c r="Y46" i="23"/>
  <c r="Y43" i="23"/>
  <c r="Y44" i="23"/>
  <c r="AA37" i="23"/>
  <c r="AA41" i="23" s="1"/>
  <c r="Z44" i="22"/>
  <c r="Z46" i="22"/>
  <c r="Z56" i="22"/>
  <c r="Z45" i="22"/>
  <c r="Z52" i="22"/>
  <c r="AA42" i="22"/>
  <c r="AA49" i="22" s="1"/>
  <c r="Z47" i="22"/>
  <c r="Z54" i="22"/>
  <c r="W50" i="21"/>
  <c r="W48" i="21"/>
  <c r="V45" i="21"/>
  <c r="W40" i="21"/>
  <c r="W41" i="21"/>
  <c r="W42" i="21"/>
  <c r="X38" i="21"/>
  <c r="X52" i="21" s="1"/>
  <c r="W43" i="21"/>
  <c r="T49" i="20"/>
  <c r="U46" i="20"/>
  <c r="U47" i="20" s="1"/>
  <c r="V42" i="20"/>
  <c r="V43" i="20" s="1"/>
  <c r="F12" i="34"/>
  <c r="F10" i="34"/>
  <c r="G28" i="34"/>
  <c r="D7" i="34"/>
  <c r="E12" i="34"/>
  <c r="D12" i="34"/>
  <c r="G8" i="34"/>
  <c r="AC48" i="28" l="1"/>
  <c r="AE43" i="31"/>
  <c r="AD50" i="31"/>
  <c r="AD51" i="31" s="1"/>
  <c r="AD48" i="31"/>
  <c r="AD49" i="31" s="1"/>
  <c r="AF39" i="31"/>
  <c r="AF40" i="31"/>
  <c r="AF44" i="31" s="1"/>
  <c r="AF41" i="31"/>
  <c r="AF45" i="31" s="1"/>
  <c r="AE47" i="31"/>
  <c r="AD45" i="28"/>
  <c r="AD47" i="28"/>
  <c r="AD42" i="28"/>
  <c r="AD43" i="28" s="1"/>
  <c r="AC44" i="27"/>
  <c r="AC45" i="27" s="1"/>
  <c r="AB46" i="29"/>
  <c r="C25" i="29"/>
  <c r="V46" i="20"/>
  <c r="V47" i="20" s="1"/>
  <c r="V49" i="20" s="1"/>
  <c r="AC50" i="27"/>
  <c r="AE45" i="32"/>
  <c r="AJ73" i="4"/>
  <c r="AD48" i="27"/>
  <c r="AD49" i="27"/>
  <c r="AD47" i="27"/>
  <c r="AH40" i="33"/>
  <c r="AG41" i="33"/>
  <c r="AG42" i="33" s="1"/>
  <c r="AG43" i="33" s="1"/>
  <c r="AC44" i="29"/>
  <c r="AC43" i="29"/>
  <c r="AC42" i="29"/>
  <c r="AD47" i="29"/>
  <c r="AD49" i="29" s="1"/>
  <c r="AD45" i="29" s="1"/>
  <c r="AF40" i="32"/>
  <c r="AF42" i="32" s="1"/>
  <c r="AF41" i="32"/>
  <c r="AF43" i="32" s="1"/>
  <c r="AG36" i="32"/>
  <c r="AF44" i="32"/>
  <c r="AF37" i="32"/>
  <c r="AG37" i="31"/>
  <c r="AH36" i="31"/>
  <c r="AD38" i="29"/>
  <c r="AE37" i="29"/>
  <c r="AE48" i="29" s="1"/>
  <c r="AB46" i="28"/>
  <c r="AE40" i="28"/>
  <c r="AE41" i="28" s="1"/>
  <c r="AD43" i="27"/>
  <c r="AE41" i="27"/>
  <c r="AE42" i="27" s="1"/>
  <c r="C29" i="25"/>
  <c r="AG50" i="26"/>
  <c r="AF51" i="26"/>
  <c r="AA58" i="25"/>
  <c r="F28" i="25" s="1"/>
  <c r="AB50" i="25"/>
  <c r="AB53" i="25"/>
  <c r="AB54" i="25"/>
  <c r="AB49" i="25"/>
  <c r="AC43" i="25"/>
  <c r="AC42" i="25"/>
  <c r="AC47" i="25"/>
  <c r="AC46" i="25"/>
  <c r="AC41" i="25"/>
  <c r="AC45" i="25"/>
  <c r="AD39" i="25"/>
  <c r="AA48" i="23"/>
  <c r="AA47" i="23"/>
  <c r="Z49" i="24"/>
  <c r="AB45" i="24"/>
  <c r="AA46" i="24"/>
  <c r="AA39" i="23"/>
  <c r="AA40" i="23"/>
  <c r="Z45" i="23"/>
  <c r="Z46" i="23"/>
  <c r="Z43" i="23"/>
  <c r="Z44" i="23"/>
  <c r="AB37" i="23"/>
  <c r="AB41" i="23" s="1"/>
  <c r="AA56" i="22"/>
  <c r="AA45" i="22"/>
  <c r="AA52" i="22"/>
  <c r="AA46" i="22"/>
  <c r="AA47" i="22"/>
  <c r="AA54" i="22"/>
  <c r="AA44" i="22"/>
  <c r="AB42" i="22"/>
  <c r="AB49" i="22" s="1"/>
  <c r="C30" i="22" s="1"/>
  <c r="X50" i="21"/>
  <c r="X48" i="21"/>
  <c r="W45" i="21"/>
  <c r="X40" i="21"/>
  <c r="X41" i="21"/>
  <c r="X42" i="21"/>
  <c r="X43" i="21"/>
  <c r="Y38" i="21"/>
  <c r="Y52" i="21" s="1"/>
  <c r="U49" i="20"/>
  <c r="W42" i="20"/>
  <c r="W43" i="20" s="1"/>
  <c r="X7" i="34"/>
  <c r="J12" i="34"/>
  <c r="G12" i="34"/>
  <c r="G24" i="34"/>
  <c r="AD48" i="28" l="1"/>
  <c r="AF47" i="31"/>
  <c r="AG39" i="31"/>
  <c r="AG40" i="31"/>
  <c r="AG44" i="31" s="1"/>
  <c r="AG41" i="31"/>
  <c r="AG45" i="31" s="1"/>
  <c r="AF43" i="31"/>
  <c r="AE50" i="31"/>
  <c r="AE51" i="31" s="1"/>
  <c r="AE48" i="31"/>
  <c r="AE49" i="31" s="1"/>
  <c r="AE47" i="28"/>
  <c r="AE42" i="28"/>
  <c r="AE43" i="28" s="1"/>
  <c r="AE45" i="28"/>
  <c r="AD44" i="27"/>
  <c r="AD45" i="27" s="1"/>
  <c r="W46" i="20"/>
  <c r="W47" i="20" s="1"/>
  <c r="W49" i="20" s="1"/>
  <c r="F30" i="20" s="1"/>
  <c r="AD50" i="27"/>
  <c r="AC46" i="29"/>
  <c r="AE47" i="27"/>
  <c r="AE48" i="27"/>
  <c r="AE49" i="27"/>
  <c r="AF45" i="32"/>
  <c r="AK73" i="4"/>
  <c r="AI40" i="33"/>
  <c r="AH41" i="33"/>
  <c r="AH42" i="33" s="1"/>
  <c r="AH43" i="33" s="1"/>
  <c r="AD43" i="29"/>
  <c r="AD42" i="29"/>
  <c r="AD44" i="29"/>
  <c r="AE47" i="29"/>
  <c r="AE49" i="29" s="1"/>
  <c r="AE45" i="29" s="1"/>
  <c r="AG41" i="32"/>
  <c r="AG43" i="32" s="1"/>
  <c r="AG37" i="32"/>
  <c r="AH36" i="32"/>
  <c r="AG40" i="32"/>
  <c r="AG42" i="32" s="1"/>
  <c r="AG44" i="32"/>
  <c r="AI36" i="31"/>
  <c r="AH37" i="31"/>
  <c r="AE38" i="29"/>
  <c r="AF37" i="29"/>
  <c r="AF48" i="29" s="1"/>
  <c r="AC46" i="28"/>
  <c r="AF40" i="28"/>
  <c r="AF41" i="28" s="1"/>
  <c r="AE43" i="27"/>
  <c r="AF41" i="27"/>
  <c r="AF42" i="27" s="1"/>
  <c r="AH50" i="26"/>
  <c r="AG51" i="26"/>
  <c r="D52" i="26" s="1"/>
  <c r="E52" i="26" s="1"/>
  <c r="F52" i="26" s="1"/>
  <c r="G52" i="26" s="1"/>
  <c r="H52" i="26" s="1"/>
  <c r="I52" i="26" s="1"/>
  <c r="J52" i="26" s="1"/>
  <c r="K52" i="26" s="1"/>
  <c r="L52" i="26" s="1"/>
  <c r="M52" i="26" s="1"/>
  <c r="N52" i="26" s="1"/>
  <c r="O52" i="26" s="1"/>
  <c r="P52" i="26" s="1"/>
  <c r="Q52" i="26" s="1"/>
  <c r="R52" i="26" s="1"/>
  <c r="S52" i="26" s="1"/>
  <c r="T52" i="26" s="1"/>
  <c r="U52" i="26" s="1"/>
  <c r="V52" i="26" s="1"/>
  <c r="W52" i="26" s="1"/>
  <c r="X52" i="26" s="1"/>
  <c r="Y52" i="26" s="1"/>
  <c r="Z52" i="26" s="1"/>
  <c r="AA52" i="26" s="1"/>
  <c r="AC50" i="25"/>
  <c r="AC53" i="25"/>
  <c r="AC54" i="25"/>
  <c r="AC49" i="25"/>
  <c r="AD45" i="25"/>
  <c r="AD43" i="25"/>
  <c r="AD42" i="25"/>
  <c r="AD47" i="25"/>
  <c r="AD46" i="25"/>
  <c r="AD41" i="25"/>
  <c r="AE39" i="25"/>
  <c r="AB48" i="23"/>
  <c r="AB47" i="23"/>
  <c r="AA49" i="24"/>
  <c r="AC45" i="24"/>
  <c r="AB46" i="24"/>
  <c r="AB39" i="23"/>
  <c r="AB40" i="23"/>
  <c r="AA46" i="23"/>
  <c r="AA45" i="23"/>
  <c r="AA43" i="23"/>
  <c r="AA44" i="23"/>
  <c r="AC37" i="23"/>
  <c r="AC41" i="23" s="1"/>
  <c r="AB44" i="22"/>
  <c r="AB56" i="22"/>
  <c r="AB45" i="22"/>
  <c r="AB52" i="22"/>
  <c r="AB46" i="22"/>
  <c r="AB47" i="22"/>
  <c r="AB54" i="22"/>
  <c r="AC42" i="22"/>
  <c r="AC49" i="22" s="1"/>
  <c r="Y50" i="21"/>
  <c r="Y48" i="21"/>
  <c r="X45" i="21"/>
  <c r="Y40" i="21"/>
  <c r="Y41" i="21"/>
  <c r="Y42" i="21"/>
  <c r="Y43" i="21"/>
  <c r="Z38" i="21"/>
  <c r="Z52" i="21" s="1"/>
  <c r="X42" i="20"/>
  <c r="X43" i="20" s="1"/>
  <c r="W22" i="34"/>
  <c r="AE48" i="28" l="1"/>
  <c r="AG43" i="31"/>
  <c r="AF50" i="31"/>
  <c r="AF51" i="31" s="1"/>
  <c r="AF48" i="31"/>
  <c r="AF49" i="31" s="1"/>
  <c r="AH39" i="31"/>
  <c r="AH40" i="31"/>
  <c r="AH44" i="31" s="1"/>
  <c r="AH41" i="31"/>
  <c r="AH45" i="31" s="1"/>
  <c r="AG47" i="31"/>
  <c r="X46" i="20"/>
  <c r="X47" i="20" s="1"/>
  <c r="X49" i="20" s="1"/>
  <c r="AF45" i="28"/>
  <c r="AF47" i="28"/>
  <c r="AF42" i="28"/>
  <c r="AF43" i="28" s="1"/>
  <c r="AE44" i="27"/>
  <c r="AE45" i="27" s="1"/>
  <c r="AF49" i="27"/>
  <c r="AF47" i="27"/>
  <c r="AF48" i="27"/>
  <c r="AE50" i="27"/>
  <c r="AG45" i="32"/>
  <c r="AL73" i="4"/>
  <c r="AJ40" i="33"/>
  <c r="AI41" i="33"/>
  <c r="AI42" i="33" s="1"/>
  <c r="AI43" i="33" s="1"/>
  <c r="AD46" i="29"/>
  <c r="AE43" i="29"/>
  <c r="AE44" i="29"/>
  <c r="AE42" i="29"/>
  <c r="AF47" i="29"/>
  <c r="AF49" i="29" s="1"/>
  <c r="AF45" i="29" s="1"/>
  <c r="AH41" i="32"/>
  <c r="AH43" i="32" s="1"/>
  <c r="AI36" i="32"/>
  <c r="AH37" i="32"/>
  <c r="AH40" i="32"/>
  <c r="AH42" i="32" s="1"/>
  <c r="AH44" i="32"/>
  <c r="AJ36" i="31"/>
  <c r="AI37" i="31"/>
  <c r="AF38" i="29"/>
  <c r="AG37" i="29"/>
  <c r="AG48" i="29" s="1"/>
  <c r="AD46" i="28"/>
  <c r="AG40" i="28"/>
  <c r="AG41" i="28" s="1"/>
  <c r="AF43" i="27"/>
  <c r="AG41" i="27"/>
  <c r="AG42" i="27" s="1"/>
  <c r="AB52" i="26"/>
  <c r="AC52" i="26" s="1"/>
  <c r="AD52" i="26" s="1"/>
  <c r="AE52" i="26" s="1"/>
  <c r="AF52" i="26" s="1"/>
  <c r="AG52" i="26" s="1"/>
  <c r="AH52" i="26" s="1"/>
  <c r="AI50" i="26"/>
  <c r="AH51" i="26"/>
  <c r="AD54" i="25"/>
  <c r="AD53" i="25"/>
  <c r="AD50" i="25"/>
  <c r="AE45" i="25"/>
  <c r="AE43" i="25"/>
  <c r="AE46" i="25"/>
  <c r="AE42" i="25"/>
  <c r="AE47" i="25"/>
  <c r="AE41" i="25"/>
  <c r="AD49" i="25"/>
  <c r="AF39" i="25"/>
  <c r="AC48" i="23"/>
  <c r="AC47" i="23"/>
  <c r="AB49" i="24"/>
  <c r="AD45" i="24"/>
  <c r="AC46" i="24"/>
  <c r="AC39" i="23"/>
  <c r="AC40" i="23"/>
  <c r="AB45" i="23"/>
  <c r="AB46" i="23"/>
  <c r="AB44" i="23"/>
  <c r="AB43" i="23"/>
  <c r="AD37" i="23"/>
  <c r="AD41" i="23" s="1"/>
  <c r="AC44" i="22"/>
  <c r="AC56" i="22"/>
  <c r="AC45" i="22"/>
  <c r="AC52" i="22"/>
  <c r="AC46" i="22"/>
  <c r="AC47" i="22"/>
  <c r="AC54" i="22"/>
  <c r="AD42" i="22"/>
  <c r="AD49" i="22" s="1"/>
  <c r="Z50" i="21"/>
  <c r="Z48" i="21"/>
  <c r="Y45" i="21"/>
  <c r="Z40" i="21"/>
  <c r="Z41" i="21"/>
  <c r="Z42" i="21"/>
  <c r="Z43" i="21"/>
  <c r="AA38" i="21"/>
  <c r="AA52" i="21" s="1"/>
  <c r="Y42" i="20"/>
  <c r="Y43" i="20" s="1"/>
  <c r="AF48" i="28" l="1"/>
  <c r="AH47" i="31"/>
  <c r="Y46" i="20"/>
  <c r="Y47" i="20" s="1"/>
  <c r="Y49" i="20" s="1"/>
  <c r="AH43" i="31"/>
  <c r="AG50" i="31"/>
  <c r="AG51" i="31" s="1"/>
  <c r="AG48" i="31"/>
  <c r="AG49" i="31" s="1"/>
  <c r="AI39" i="31"/>
  <c r="AI40" i="31"/>
  <c r="AI44" i="31" s="1"/>
  <c r="AI41" i="31"/>
  <c r="AI45" i="31" s="1"/>
  <c r="AG42" i="28"/>
  <c r="AG43" i="28" s="1"/>
  <c r="AG47" i="28"/>
  <c r="AG48" i="28" s="1"/>
  <c r="AG45" i="28"/>
  <c r="AI52" i="26"/>
  <c r="AF44" i="27"/>
  <c r="AF45" i="27" s="1"/>
  <c r="C25" i="23"/>
  <c r="AE46" i="29"/>
  <c r="AE49" i="25"/>
  <c r="AF50" i="27"/>
  <c r="AG49" i="27"/>
  <c r="AG48" i="27"/>
  <c r="AG47" i="27"/>
  <c r="AH45" i="32"/>
  <c r="AM73" i="4"/>
  <c r="AK40" i="33"/>
  <c r="AJ41" i="33"/>
  <c r="AJ42" i="33" s="1"/>
  <c r="AJ43" i="33" s="1"/>
  <c r="AG47" i="29"/>
  <c r="AG49" i="29" s="1"/>
  <c r="AG45" i="29" s="1"/>
  <c r="AF42" i="29"/>
  <c r="AF43" i="29"/>
  <c r="AF44" i="29"/>
  <c r="AI41" i="32"/>
  <c r="AI43" i="32" s="1"/>
  <c r="AJ36" i="32"/>
  <c r="AI44" i="32"/>
  <c r="AI37" i="32"/>
  <c r="AI40" i="32"/>
  <c r="AI42" i="32" s="1"/>
  <c r="AJ37" i="31"/>
  <c r="AK36" i="31"/>
  <c r="AG38" i="29"/>
  <c r="AH37" i="29"/>
  <c r="AH48" i="29" s="1"/>
  <c r="AE46" i="28"/>
  <c r="AH40" i="28"/>
  <c r="AH41" i="28" s="1"/>
  <c r="AG43" i="27"/>
  <c r="AH41" i="27"/>
  <c r="AH42" i="27" s="1"/>
  <c r="AJ50" i="26"/>
  <c r="AI51" i="26"/>
  <c r="AE54" i="25"/>
  <c r="AE53" i="25"/>
  <c r="AE50" i="25"/>
  <c r="AF45" i="25"/>
  <c r="AF43" i="25"/>
  <c r="AF42" i="25"/>
  <c r="AF47" i="25"/>
  <c r="AF41" i="25"/>
  <c r="AF46" i="25"/>
  <c r="AG39" i="25"/>
  <c r="AD48" i="23"/>
  <c r="AD47" i="23"/>
  <c r="AE45" i="24"/>
  <c r="AD46" i="24"/>
  <c r="AC49" i="24"/>
  <c r="AD39" i="23"/>
  <c r="AD40" i="23"/>
  <c r="AC46" i="23"/>
  <c r="AC45" i="23"/>
  <c r="AC44" i="23"/>
  <c r="AC43" i="23"/>
  <c r="AE37" i="23"/>
  <c r="AE41" i="23" s="1"/>
  <c r="AD56" i="22"/>
  <c r="AD52" i="22"/>
  <c r="AD46" i="22"/>
  <c r="AD47" i="22"/>
  <c r="AD44" i="22"/>
  <c r="AD54" i="22"/>
  <c r="AE42" i="22"/>
  <c r="AE49" i="22" s="1"/>
  <c r="AD45" i="22"/>
  <c r="AA50" i="21"/>
  <c r="AA48" i="21"/>
  <c r="Z45" i="21"/>
  <c r="AA40" i="21"/>
  <c r="AA41" i="21"/>
  <c r="AA42" i="21"/>
  <c r="AA43" i="21"/>
  <c r="AB38" i="21"/>
  <c r="AB52" i="21" s="1"/>
  <c r="Z42" i="20"/>
  <c r="Z43" i="20" s="1"/>
  <c r="G23" i="34"/>
  <c r="Z46" i="20" l="1"/>
  <c r="Z47" i="20" s="1"/>
  <c r="Z49" i="20" s="1"/>
  <c r="AI47" i="31"/>
  <c r="AJ52" i="26"/>
  <c r="AJ39" i="31"/>
  <c r="AJ41" i="31"/>
  <c r="AJ45" i="31" s="1"/>
  <c r="AJ40" i="31"/>
  <c r="AJ44" i="31" s="1"/>
  <c r="AI43" i="31"/>
  <c r="AH50" i="31"/>
  <c r="AH51" i="31" s="1"/>
  <c r="AH48" i="31"/>
  <c r="AH49" i="31" s="1"/>
  <c r="AH42" i="28"/>
  <c r="AH43" i="28" s="1"/>
  <c r="AH45" i="28"/>
  <c r="AH47" i="28"/>
  <c r="AH48" i="28" s="1"/>
  <c r="AG44" i="27"/>
  <c r="AG45" i="27" s="1"/>
  <c r="AG50" i="27"/>
  <c r="AH47" i="27"/>
  <c r="AH48" i="27"/>
  <c r="AH49" i="27"/>
  <c r="AI45" i="32"/>
  <c r="AN73" i="4"/>
  <c r="AK41" i="33"/>
  <c r="AK42" i="33" s="1"/>
  <c r="AK43" i="33" s="1"/>
  <c r="AL40" i="33"/>
  <c r="AF46" i="29"/>
  <c r="AH47" i="29"/>
  <c r="AH49" i="29" s="1"/>
  <c r="AH45" i="29" s="1"/>
  <c r="AG43" i="29"/>
  <c r="AG42" i="29"/>
  <c r="AG44" i="29"/>
  <c r="AK36" i="32"/>
  <c r="AJ44" i="32"/>
  <c r="AJ41" i="32"/>
  <c r="AJ43" i="32" s="1"/>
  <c r="AJ37" i="32"/>
  <c r="AJ40" i="32"/>
  <c r="AJ42" i="32" s="1"/>
  <c r="AL36" i="31"/>
  <c r="AK37" i="31"/>
  <c r="AH38" i="29"/>
  <c r="AI37" i="29"/>
  <c r="AI48" i="29" s="1"/>
  <c r="AF46" i="28"/>
  <c r="AI40" i="28"/>
  <c r="AI41" i="28" s="1"/>
  <c r="AH43" i="27"/>
  <c r="AI41" i="27"/>
  <c r="AI42" i="27" s="1"/>
  <c r="AK50" i="26"/>
  <c r="AJ51" i="26"/>
  <c r="AF54" i="25"/>
  <c r="AF53" i="25"/>
  <c r="AF49" i="25"/>
  <c r="AF50" i="25"/>
  <c r="AG45" i="25"/>
  <c r="AG43" i="25"/>
  <c r="AG47" i="25"/>
  <c r="AG42" i="25"/>
  <c r="AG41" i="25"/>
  <c r="AG46" i="25"/>
  <c r="AH39" i="25"/>
  <c r="AE48" i="23"/>
  <c r="AE47" i="23"/>
  <c r="AD49" i="24"/>
  <c r="AF45" i="24"/>
  <c r="AE46" i="24"/>
  <c r="AE39" i="23"/>
  <c r="AE40" i="23"/>
  <c r="AD46" i="23"/>
  <c r="AD45" i="23"/>
  <c r="AD44" i="23"/>
  <c r="AD43" i="23"/>
  <c r="AF37" i="23"/>
  <c r="AF41" i="23" s="1"/>
  <c r="AE45" i="22"/>
  <c r="AE52" i="22"/>
  <c r="AE46" i="22"/>
  <c r="AE47" i="22"/>
  <c r="AF42" i="22"/>
  <c r="AF49" i="22" s="1"/>
  <c r="AE54" i="22"/>
  <c r="AE56" i="22"/>
  <c r="AE44" i="22"/>
  <c r="AB50" i="21"/>
  <c r="AB48" i="21"/>
  <c r="AA45" i="21"/>
  <c r="AB41" i="21"/>
  <c r="AB42" i="21"/>
  <c r="AB43" i="21"/>
  <c r="AC38" i="21"/>
  <c r="AC52" i="21" s="1"/>
  <c r="AB40" i="21"/>
  <c r="AA42" i="20"/>
  <c r="AA43" i="20" s="1"/>
  <c r="AK52" i="26" l="1"/>
  <c r="AA46" i="20"/>
  <c r="AA47" i="20" s="1"/>
  <c r="AA49" i="20" s="1"/>
  <c r="AJ43" i="31"/>
  <c r="AI50" i="31"/>
  <c r="AI51" i="31" s="1"/>
  <c r="AI48" i="31"/>
  <c r="AI49" i="31" s="1"/>
  <c r="AJ47" i="31"/>
  <c r="AK39" i="31"/>
  <c r="AK41" i="31"/>
  <c r="AK45" i="31" s="1"/>
  <c r="AK40" i="31"/>
  <c r="AK44" i="31" s="1"/>
  <c r="AI47" i="28"/>
  <c r="AI48" i="28" s="1"/>
  <c r="AI42" i="28"/>
  <c r="AI43" i="28" s="1"/>
  <c r="AI45" i="28"/>
  <c r="AH44" i="27"/>
  <c r="AH45" i="27" s="1"/>
  <c r="AI47" i="27"/>
  <c r="AI49" i="27"/>
  <c r="AI48" i="27"/>
  <c r="AJ45" i="32"/>
  <c r="AO73" i="4"/>
  <c r="AH50" i="27"/>
  <c r="AL41" i="33"/>
  <c r="AL42" i="33" s="1"/>
  <c r="AL43" i="33" s="1"/>
  <c r="AM40" i="33"/>
  <c r="AG46" i="29"/>
  <c r="AH44" i="29"/>
  <c r="AH42" i="29"/>
  <c r="AH43" i="29"/>
  <c r="AI47" i="29"/>
  <c r="AI49" i="29" s="1"/>
  <c r="AI45" i="29" s="1"/>
  <c r="AL36" i="32"/>
  <c r="AK44" i="32"/>
  <c r="AK37" i="32"/>
  <c r="AK40" i="32"/>
  <c r="AK42" i="32" s="1"/>
  <c r="AK41" i="32"/>
  <c r="AK43" i="32" s="1"/>
  <c r="AM36" i="31"/>
  <c r="AL37" i="31"/>
  <c r="AI38" i="29"/>
  <c r="AJ37" i="29"/>
  <c r="AJ48" i="29" s="1"/>
  <c r="AG46" i="28"/>
  <c r="AJ40" i="28"/>
  <c r="AJ41" i="28" s="1"/>
  <c r="AI43" i="27"/>
  <c r="AJ41" i="27"/>
  <c r="AJ42" i="27" s="1"/>
  <c r="AL50" i="26"/>
  <c r="AK51" i="26"/>
  <c r="AG54" i="25"/>
  <c r="AG53" i="25"/>
  <c r="AG49" i="25"/>
  <c r="AG50" i="25"/>
  <c r="AH41" i="25"/>
  <c r="AH45" i="25"/>
  <c r="AH43" i="25"/>
  <c r="AH42" i="25"/>
  <c r="AH47" i="25"/>
  <c r="AH46" i="25"/>
  <c r="AI39" i="25"/>
  <c r="AF47" i="23"/>
  <c r="AF48" i="23"/>
  <c r="AG45" i="24"/>
  <c r="AF46" i="24"/>
  <c r="AE49" i="24"/>
  <c r="AF40" i="23"/>
  <c r="AF39" i="23"/>
  <c r="AE46" i="23"/>
  <c r="AE45" i="23"/>
  <c r="AE43" i="23"/>
  <c r="AE44" i="23"/>
  <c r="AG37" i="23"/>
  <c r="AG41" i="23" s="1"/>
  <c r="AF45" i="22"/>
  <c r="AF52" i="22"/>
  <c r="AF46" i="22"/>
  <c r="AG42" i="22"/>
  <c r="AG49" i="22" s="1"/>
  <c r="AF47" i="22"/>
  <c r="AF54" i="22"/>
  <c r="AF44" i="22"/>
  <c r="AF56" i="22"/>
  <c r="AC50" i="21"/>
  <c r="AC48" i="21"/>
  <c r="AB45" i="21"/>
  <c r="AC41" i="21"/>
  <c r="AC42" i="21"/>
  <c r="AC43" i="21"/>
  <c r="AD38" i="21"/>
  <c r="AD52" i="21" s="1"/>
  <c r="AC40" i="21"/>
  <c r="AB42" i="20"/>
  <c r="AB43" i="20" s="1"/>
  <c r="AL52" i="26" l="1"/>
  <c r="AB46" i="20"/>
  <c r="AB47" i="20" s="1"/>
  <c r="AB49" i="20" s="1"/>
  <c r="F31" i="20" s="1"/>
  <c r="AL39" i="31"/>
  <c r="AL41" i="31"/>
  <c r="AL45" i="31" s="1"/>
  <c r="AL40" i="31"/>
  <c r="AL44" i="31" s="1"/>
  <c r="AK43" i="31"/>
  <c r="AJ48" i="31"/>
  <c r="AJ49" i="31" s="1"/>
  <c r="AJ50" i="31"/>
  <c r="AJ51" i="31" s="1"/>
  <c r="AK47" i="31"/>
  <c r="AJ47" i="28"/>
  <c r="AJ48" i="28" s="1"/>
  <c r="AJ42" i="28"/>
  <c r="AJ43" i="28" s="1"/>
  <c r="AJ45" i="28"/>
  <c r="AI44" i="27"/>
  <c r="AI45" i="27" s="1"/>
  <c r="AK45" i="32"/>
  <c r="AP73" i="4"/>
  <c r="AJ47" i="27"/>
  <c r="AJ49" i="27"/>
  <c r="AJ48" i="27"/>
  <c r="AI50" i="27"/>
  <c r="AM41" i="33"/>
  <c r="AM42" i="33" s="1"/>
  <c r="AM43" i="33" s="1"/>
  <c r="AN40" i="33"/>
  <c r="AH46" i="29"/>
  <c r="AJ47" i="29"/>
  <c r="AJ49" i="29" s="1"/>
  <c r="AJ45" i="29" s="1"/>
  <c r="AI44" i="29"/>
  <c r="AI42" i="29"/>
  <c r="AI43" i="29"/>
  <c r="AM36" i="32"/>
  <c r="AL37" i="32"/>
  <c r="AL44" i="32"/>
  <c r="AL45" i="32" s="1"/>
  <c r="AL40" i="32"/>
  <c r="AL42" i="32" s="1"/>
  <c r="AL41" i="32"/>
  <c r="AL43" i="32" s="1"/>
  <c r="AN36" i="31"/>
  <c r="AM37" i="31"/>
  <c r="AJ38" i="29"/>
  <c r="AK37" i="29"/>
  <c r="AK48" i="29" s="1"/>
  <c r="AH46" i="28"/>
  <c r="AK40" i="28"/>
  <c r="AK41" i="28" s="1"/>
  <c r="AJ43" i="27"/>
  <c r="AK41" i="27"/>
  <c r="AK42" i="27" s="1"/>
  <c r="AM50" i="26"/>
  <c r="AL51" i="26"/>
  <c r="AH53" i="25"/>
  <c r="AH54" i="25"/>
  <c r="AH50" i="25"/>
  <c r="AI45" i="25"/>
  <c r="AI46" i="25"/>
  <c r="AI41" i="25"/>
  <c r="AI43" i="25"/>
  <c r="AI47" i="25"/>
  <c r="AI42" i="25"/>
  <c r="AH49" i="25"/>
  <c r="AJ39" i="25"/>
  <c r="AG48" i="23"/>
  <c r="AG47" i="23"/>
  <c r="AF49" i="24"/>
  <c r="AH45" i="24"/>
  <c r="AG46" i="24"/>
  <c r="AG40" i="23"/>
  <c r="AG39" i="23"/>
  <c r="AF44" i="23"/>
  <c r="AF43" i="23"/>
  <c r="AF46" i="23"/>
  <c r="AF45" i="23"/>
  <c r="AH37" i="23"/>
  <c r="AH41" i="23" s="1"/>
  <c r="AG52" i="22"/>
  <c r="AH42" i="22"/>
  <c r="AH49" i="22" s="1"/>
  <c r="AG46" i="22"/>
  <c r="AG47" i="22"/>
  <c r="AG54" i="22"/>
  <c r="AG44" i="22"/>
  <c r="AG56" i="22"/>
  <c r="AG45" i="22"/>
  <c r="AC45" i="21"/>
  <c r="AD50" i="21"/>
  <c r="AD48" i="21"/>
  <c r="C26" i="21"/>
  <c r="C23" i="21"/>
  <c r="AD42" i="21"/>
  <c r="AE38" i="21"/>
  <c r="AE52" i="21" s="1"/>
  <c r="AD43" i="21"/>
  <c r="AD40" i="21"/>
  <c r="AD41" i="21"/>
  <c r="AC42" i="20"/>
  <c r="AC43" i="20" s="1"/>
  <c r="X22" i="34"/>
  <c r="G21" i="34"/>
  <c r="D21" i="34"/>
  <c r="AC46" i="20" l="1"/>
  <c r="AC47" i="20" s="1"/>
  <c r="AM52" i="26"/>
  <c r="AL43" i="31"/>
  <c r="AK48" i="31"/>
  <c r="AK49" i="31" s="1"/>
  <c r="AK50" i="31"/>
  <c r="AK51" i="31" s="1"/>
  <c r="AM39" i="31"/>
  <c r="AM41" i="31"/>
  <c r="AM45" i="31" s="1"/>
  <c r="AM40" i="31"/>
  <c r="AM44" i="31" s="1"/>
  <c r="AL47" i="31"/>
  <c r="AK42" i="28"/>
  <c r="AK43" i="28" s="1"/>
  <c r="AK45" i="28"/>
  <c r="AK47" i="28"/>
  <c r="AK48" i="28" s="1"/>
  <c r="AJ44" i="27"/>
  <c r="AJ45" i="27" s="1"/>
  <c r="C24" i="21"/>
  <c r="AK49" i="27"/>
  <c r="AK48" i="27"/>
  <c r="AK47" i="27"/>
  <c r="AI46" i="29"/>
  <c r="AJ50" i="27"/>
  <c r="AN41" i="33"/>
  <c r="AN42" i="33" s="1"/>
  <c r="AN43" i="33" s="1"/>
  <c r="AO40" i="33"/>
  <c r="AK47" i="29"/>
  <c r="AK49" i="29" s="1"/>
  <c r="AK45" i="29" s="1"/>
  <c r="AJ43" i="29"/>
  <c r="AJ42" i="29"/>
  <c r="AJ44" i="29"/>
  <c r="AN36" i="32"/>
  <c r="AM44" i="32"/>
  <c r="AM45" i="32" s="1"/>
  <c r="AM37" i="32"/>
  <c r="AM40" i="32"/>
  <c r="AM42" i="32" s="1"/>
  <c r="AM41" i="32"/>
  <c r="AM43" i="32" s="1"/>
  <c r="AK49" i="28"/>
  <c r="AK74" i="26"/>
  <c r="AK56" i="25"/>
  <c r="AO36" i="31"/>
  <c r="AN37" i="31"/>
  <c r="AK38" i="29"/>
  <c r="AL37" i="29"/>
  <c r="AI46" i="28"/>
  <c r="AL40" i="28"/>
  <c r="AL41" i="28" s="1"/>
  <c r="AK43" i="27"/>
  <c r="AL41" i="27"/>
  <c r="AL42" i="27" s="1"/>
  <c r="AN50" i="26"/>
  <c r="AM51" i="26"/>
  <c r="AI53" i="25"/>
  <c r="AI54" i="25"/>
  <c r="AI50" i="25"/>
  <c r="AI49" i="25"/>
  <c r="AJ41" i="25"/>
  <c r="AJ46" i="25"/>
  <c r="AJ45" i="25"/>
  <c r="AJ43" i="25"/>
  <c r="AJ47" i="25"/>
  <c r="AJ42" i="25"/>
  <c r="AK39" i="25"/>
  <c r="AH47" i="23"/>
  <c r="AH48" i="23"/>
  <c r="AG49" i="24"/>
  <c r="AH46" i="24"/>
  <c r="AI45" i="24"/>
  <c r="AH40" i="23"/>
  <c r="AH39" i="23"/>
  <c r="AG44" i="23"/>
  <c r="AG43" i="23"/>
  <c r="AG46" i="23"/>
  <c r="AG45" i="23"/>
  <c r="AI37" i="23"/>
  <c r="AI41" i="23" s="1"/>
  <c r="AH52" i="22"/>
  <c r="AH46" i="22"/>
  <c r="AH47" i="22"/>
  <c r="AH54" i="22"/>
  <c r="AI42" i="22"/>
  <c r="AI49" i="22" s="1"/>
  <c r="AH44" i="22"/>
  <c r="AH56" i="22"/>
  <c r="AH45" i="22"/>
  <c r="AE50" i="21"/>
  <c r="AE48" i="21"/>
  <c r="AD45" i="21"/>
  <c r="AE42" i="21"/>
  <c r="AE43" i="21"/>
  <c r="AF38" i="21"/>
  <c r="AF52" i="21" s="1"/>
  <c r="AE40" i="21"/>
  <c r="AE41" i="21"/>
  <c r="AC49" i="20"/>
  <c r="AD42" i="20"/>
  <c r="AD43" i="20" s="1"/>
  <c r="AD46" i="20" s="1"/>
  <c r="AD47" i="20" s="1"/>
  <c r="E21" i="34"/>
  <c r="AN52" i="26" l="1"/>
  <c r="AM47" i="31"/>
  <c r="AN39" i="31"/>
  <c r="AN41" i="31"/>
  <c r="AN45" i="31" s="1"/>
  <c r="AN40" i="31"/>
  <c r="AN44" i="31" s="1"/>
  <c r="AM43" i="31"/>
  <c r="AL50" i="31"/>
  <c r="AL51" i="31" s="1"/>
  <c r="AL48" i="31"/>
  <c r="AL49" i="31" s="1"/>
  <c r="AL45" i="28"/>
  <c r="AL47" i="28"/>
  <c r="AL48" i="28" s="1"/>
  <c r="AL42" i="28"/>
  <c r="AL43" i="28" s="1"/>
  <c r="AK44" i="27"/>
  <c r="AK45" i="27" s="1"/>
  <c r="AK50" i="27"/>
  <c r="AJ46" i="29"/>
  <c r="AL49" i="27"/>
  <c r="AL48" i="27"/>
  <c r="AL47" i="27"/>
  <c r="AP40" i="33"/>
  <c r="AO41" i="33"/>
  <c r="AO42" i="33" s="1"/>
  <c r="AO43" i="33" s="1"/>
  <c r="AL47" i="29"/>
  <c r="AL48" i="29"/>
  <c r="AK43" i="29"/>
  <c r="AK44" i="29"/>
  <c r="AK42" i="29"/>
  <c r="AO36" i="32"/>
  <c r="AN44" i="32"/>
  <c r="AN45" i="32" s="1"/>
  <c r="AN37" i="32"/>
  <c r="AN40" i="32"/>
  <c r="AN42" i="32" s="1"/>
  <c r="AN41" i="32"/>
  <c r="AN43" i="32" s="1"/>
  <c r="AP36" i="31"/>
  <c r="AO37" i="31"/>
  <c r="AL38" i="29"/>
  <c r="AM37" i="29"/>
  <c r="AJ46" i="28"/>
  <c r="AM40" i="28"/>
  <c r="AM41" i="28" s="1"/>
  <c r="AL43" i="27"/>
  <c r="AM41" i="27"/>
  <c r="AM42" i="27" s="1"/>
  <c r="AN51" i="26"/>
  <c r="AO50" i="26"/>
  <c r="AJ54" i="25"/>
  <c r="AJ53" i="25"/>
  <c r="AJ50" i="25"/>
  <c r="AK41" i="25"/>
  <c r="AK46" i="25"/>
  <c r="AK45" i="25"/>
  <c r="AK43" i="25"/>
  <c r="AK42" i="25"/>
  <c r="AK47" i="25"/>
  <c r="AJ49" i="25"/>
  <c r="AL39" i="25"/>
  <c r="AI48" i="23"/>
  <c r="AI47" i="23"/>
  <c r="AH49" i="24"/>
  <c r="E47" i="24"/>
  <c r="AI46" i="24"/>
  <c r="AJ45" i="24"/>
  <c r="AI40" i="23"/>
  <c r="AI39" i="23"/>
  <c r="AH44" i="23"/>
  <c r="AH43" i="23"/>
  <c r="AH46" i="23"/>
  <c r="AH45" i="23"/>
  <c r="AJ37" i="23"/>
  <c r="AJ41" i="23" s="1"/>
  <c r="AI46" i="22"/>
  <c r="AI47" i="22"/>
  <c r="AI54" i="22"/>
  <c r="AJ42" i="22"/>
  <c r="AJ49" i="22" s="1"/>
  <c r="AI44" i="22"/>
  <c r="AI56" i="22"/>
  <c r="AI52" i="22"/>
  <c r="AI45" i="22"/>
  <c r="AF50" i="21"/>
  <c r="AF48" i="21"/>
  <c r="AE45" i="21"/>
  <c r="AF42" i="21"/>
  <c r="AF43" i="21"/>
  <c r="AG38" i="21"/>
  <c r="AG52" i="21" s="1"/>
  <c r="AF40" i="21"/>
  <c r="AF41" i="21"/>
  <c r="AD49" i="20"/>
  <c r="AE42" i="20"/>
  <c r="AE43" i="20" s="1"/>
  <c r="AE46" i="20" s="1"/>
  <c r="AE47" i="20" s="1"/>
  <c r="AO52" i="26" l="1"/>
  <c r="AN43" i="31"/>
  <c r="AM48" i="31"/>
  <c r="AM49" i="31" s="1"/>
  <c r="AM50" i="31"/>
  <c r="AM51" i="31" s="1"/>
  <c r="AN47" i="31"/>
  <c r="AO39" i="31"/>
  <c r="AO40" i="31"/>
  <c r="AO44" i="31" s="1"/>
  <c r="AO41" i="31"/>
  <c r="AO45" i="31" s="1"/>
  <c r="AM42" i="28"/>
  <c r="AM43" i="28" s="1"/>
  <c r="AM47" i="28"/>
  <c r="AM48" i="28" s="1"/>
  <c r="AM45" i="28"/>
  <c r="AL44" i="27"/>
  <c r="AL45" i="27" s="1"/>
  <c r="AK46" i="29"/>
  <c r="AL49" i="29"/>
  <c r="AL45" i="29" s="1"/>
  <c r="AL50" i="27"/>
  <c r="AM47" i="27"/>
  <c r="AM48" i="27"/>
  <c r="AM49" i="27"/>
  <c r="AQ40" i="33"/>
  <c r="AP41" i="33"/>
  <c r="AP42" i="33" s="1"/>
  <c r="AP43" i="33" s="1"/>
  <c r="AM47" i="29"/>
  <c r="AM48" i="29"/>
  <c r="AL44" i="29"/>
  <c r="AL43" i="29"/>
  <c r="AL42" i="29"/>
  <c r="AP36" i="32"/>
  <c r="AO44" i="32"/>
  <c r="AO45" i="32" s="1"/>
  <c r="AO40" i="32"/>
  <c r="AO42" i="32" s="1"/>
  <c r="AO37" i="32"/>
  <c r="AO41" i="32"/>
  <c r="AO43" i="32" s="1"/>
  <c r="AQ36" i="31"/>
  <c r="AP37" i="31"/>
  <c r="AM38" i="29"/>
  <c r="AN37" i="29"/>
  <c r="AK46" i="28"/>
  <c r="AN40" i="28"/>
  <c r="AN41" i="28" s="1"/>
  <c r="AM43" i="27"/>
  <c r="AN41" i="27"/>
  <c r="AN42" i="27" s="1"/>
  <c r="AO51" i="26"/>
  <c r="AP50" i="26"/>
  <c r="AK54" i="25"/>
  <c r="AK53" i="25"/>
  <c r="AK50" i="25"/>
  <c r="AL43" i="25"/>
  <c r="AL41" i="25"/>
  <c r="AL46" i="25"/>
  <c r="AL45" i="25"/>
  <c r="AL42" i="25"/>
  <c r="AL47" i="25"/>
  <c r="AK49" i="25"/>
  <c r="AM39" i="25"/>
  <c r="AJ47" i="23"/>
  <c r="AJ48" i="23"/>
  <c r="E53" i="24"/>
  <c r="E54" i="24"/>
  <c r="F47" i="24"/>
  <c r="E50" i="24"/>
  <c r="E51" i="24"/>
  <c r="AI49" i="24"/>
  <c r="AJ46" i="24"/>
  <c r="AK45" i="24"/>
  <c r="AJ40" i="23"/>
  <c r="AJ39" i="23"/>
  <c r="AI43" i="23"/>
  <c r="AI44" i="23"/>
  <c r="AI46" i="23"/>
  <c r="AI45" i="23"/>
  <c r="AK37" i="23"/>
  <c r="AK41" i="23" s="1"/>
  <c r="AJ47" i="22"/>
  <c r="AJ54" i="22"/>
  <c r="AK42" i="22"/>
  <c r="AK49" i="22" s="1"/>
  <c r="AJ44" i="22"/>
  <c r="AJ56" i="22"/>
  <c r="AJ45" i="22"/>
  <c r="AJ52" i="22"/>
  <c r="AJ46" i="22"/>
  <c r="AG50" i="21"/>
  <c r="AG48" i="21"/>
  <c r="AF45" i="21"/>
  <c r="AG40" i="21"/>
  <c r="AG43" i="21"/>
  <c r="AH38" i="21"/>
  <c r="AH52" i="21" s="1"/>
  <c r="AG42" i="21"/>
  <c r="AG41" i="21"/>
  <c r="AE49" i="20"/>
  <c r="AF42" i="20"/>
  <c r="AF43" i="20" s="1"/>
  <c r="AF46" i="20" s="1"/>
  <c r="AF47" i="20" s="1"/>
  <c r="AP52" i="26" l="1"/>
  <c r="AO47" i="31"/>
  <c r="AP39" i="31"/>
  <c r="AP41" i="31"/>
  <c r="AP45" i="31" s="1"/>
  <c r="AP40" i="31"/>
  <c r="AP44" i="31" s="1"/>
  <c r="AO43" i="31"/>
  <c r="AN48" i="31"/>
  <c r="AN49" i="31" s="1"/>
  <c r="AN50" i="31"/>
  <c r="AN51" i="31" s="1"/>
  <c r="AN42" i="28"/>
  <c r="AN43" i="28" s="1"/>
  <c r="AN47" i="28"/>
  <c r="AN48" i="28" s="1"/>
  <c r="AN45" i="28"/>
  <c r="AM44" i="27"/>
  <c r="AM45" i="27" s="1"/>
  <c r="AL46" i="29"/>
  <c r="AM49" i="29"/>
  <c r="AM45" i="29" s="1"/>
  <c r="AN47" i="27"/>
  <c r="AN49" i="27"/>
  <c r="AN48" i="27"/>
  <c r="AM50" i="27"/>
  <c r="AR40" i="33"/>
  <c r="AQ41" i="33"/>
  <c r="AQ42" i="33" s="1"/>
  <c r="AQ43" i="33" s="1"/>
  <c r="AN47" i="29"/>
  <c r="AN48" i="29"/>
  <c r="AM42" i="29"/>
  <c r="AM43" i="29"/>
  <c r="AM44" i="29"/>
  <c r="AP44" i="32"/>
  <c r="AP45" i="32" s="1"/>
  <c r="AP37" i="32"/>
  <c r="AP40" i="32"/>
  <c r="AP42" i="32" s="1"/>
  <c r="AP41" i="32"/>
  <c r="AP43" i="32" s="1"/>
  <c r="AQ36" i="32"/>
  <c r="AR36" i="31"/>
  <c r="AQ37" i="31"/>
  <c r="AN38" i="29"/>
  <c r="AO37" i="29"/>
  <c r="AL46" i="28"/>
  <c r="AO40" i="28"/>
  <c r="AO41" i="28" s="1"/>
  <c r="AN43" i="27"/>
  <c r="AO41" i="27"/>
  <c r="AO42" i="27" s="1"/>
  <c r="AK58" i="25"/>
  <c r="AP51" i="26"/>
  <c r="AQ50" i="26"/>
  <c r="AL53" i="25"/>
  <c r="AL54" i="25"/>
  <c r="AL50" i="25"/>
  <c r="AM47" i="25"/>
  <c r="AM41" i="25"/>
  <c r="AM46" i="25"/>
  <c r="AM42" i="25"/>
  <c r="AM45" i="25"/>
  <c r="AM43" i="25"/>
  <c r="AL49" i="25"/>
  <c r="AN39" i="25"/>
  <c r="AK47" i="23"/>
  <c r="AK48" i="23"/>
  <c r="F53" i="24"/>
  <c r="F54" i="24"/>
  <c r="E52" i="24"/>
  <c r="AJ49" i="24"/>
  <c r="AK46" i="24"/>
  <c r="AL45" i="24"/>
  <c r="G47" i="24"/>
  <c r="F50" i="24"/>
  <c r="F51" i="24"/>
  <c r="AK40" i="23"/>
  <c r="AK39" i="23"/>
  <c r="AJ43" i="23"/>
  <c r="AJ44" i="23"/>
  <c r="AJ46" i="23"/>
  <c r="AJ45" i="23"/>
  <c r="AL37" i="23"/>
  <c r="AL41" i="23" s="1"/>
  <c r="AK47" i="22"/>
  <c r="AK54" i="22"/>
  <c r="AL42" i="22"/>
  <c r="AL49" i="22" s="1"/>
  <c r="AK44" i="22"/>
  <c r="AK56" i="22"/>
  <c r="AK45" i="22"/>
  <c r="AK52" i="22"/>
  <c r="AK46" i="22"/>
  <c r="AH50" i="21"/>
  <c r="AH48" i="21"/>
  <c r="AG45" i="21"/>
  <c r="AH43" i="21"/>
  <c r="AI38" i="21"/>
  <c r="AI52" i="21" s="1"/>
  <c r="AH40" i="21"/>
  <c r="AH41" i="21"/>
  <c r="AH42" i="21"/>
  <c r="AF49" i="20"/>
  <c r="AG42" i="20"/>
  <c r="AG43" i="20" s="1"/>
  <c r="AG46" i="20" s="1"/>
  <c r="AG47" i="20" s="1"/>
  <c r="AQ52" i="26" l="1"/>
  <c r="AP43" i="31"/>
  <c r="AO48" i="31"/>
  <c r="AO49" i="31" s="1"/>
  <c r="AO50" i="31"/>
  <c r="AO51" i="31" s="1"/>
  <c r="AP47" i="31"/>
  <c r="AQ39" i="31"/>
  <c r="AQ41" i="31"/>
  <c r="AQ45" i="31" s="1"/>
  <c r="AQ40" i="31"/>
  <c r="AQ44" i="31" s="1"/>
  <c r="AO47" i="28"/>
  <c r="AO48" i="28" s="1"/>
  <c r="AO42" i="28"/>
  <c r="AO43" i="28" s="1"/>
  <c r="AO45" i="28"/>
  <c r="AN44" i="27"/>
  <c r="AN45" i="27" s="1"/>
  <c r="AN49" i="29"/>
  <c r="AN45" i="29" s="1"/>
  <c r="AO49" i="27"/>
  <c r="AO48" i="27"/>
  <c r="AO47" i="27"/>
  <c r="AN50" i="27"/>
  <c r="AR41" i="33"/>
  <c r="AR42" i="33" s="1"/>
  <c r="AR43" i="33" s="1"/>
  <c r="AS40" i="33"/>
  <c r="AO47" i="29"/>
  <c r="AO48" i="29"/>
  <c r="AM46" i="29"/>
  <c r="AN44" i="29"/>
  <c r="AN42" i="29"/>
  <c r="AN43" i="29"/>
  <c r="AQ44" i="32"/>
  <c r="AQ45" i="32" s="1"/>
  <c r="C25" i="32" s="1"/>
  <c r="AQ37" i="32"/>
  <c r="AR36" i="32"/>
  <c r="AQ40" i="32"/>
  <c r="AQ42" i="32" s="1"/>
  <c r="AQ41" i="32"/>
  <c r="AQ43" i="32" s="1"/>
  <c r="AS36" i="31"/>
  <c r="AR37" i="31"/>
  <c r="AO38" i="29"/>
  <c r="AP37" i="29"/>
  <c r="AM46" i="28"/>
  <c r="AP40" i="28"/>
  <c r="AP41" i="28" s="1"/>
  <c r="AO43" i="27"/>
  <c r="AP41" i="27"/>
  <c r="AP42" i="27" s="1"/>
  <c r="AQ51" i="26"/>
  <c r="AR50" i="26"/>
  <c r="AL58" i="25"/>
  <c r="AM50" i="25"/>
  <c r="AM53" i="25"/>
  <c r="AM54" i="25"/>
  <c r="AN42" i="25"/>
  <c r="AN47" i="25"/>
  <c r="AN41" i="25"/>
  <c r="AN46" i="25"/>
  <c r="AN45" i="25"/>
  <c r="AN43" i="25"/>
  <c r="AM49" i="25"/>
  <c r="AO39" i="25"/>
  <c r="AL48" i="23"/>
  <c r="AL47" i="23"/>
  <c r="G54" i="24"/>
  <c r="G53" i="24"/>
  <c r="H47" i="24"/>
  <c r="G50" i="24"/>
  <c r="G51" i="24"/>
  <c r="F52" i="24"/>
  <c r="AK49" i="24"/>
  <c r="AM45" i="24"/>
  <c r="AL46" i="24"/>
  <c r="AK46" i="23"/>
  <c r="AK45" i="23"/>
  <c r="AL40" i="23"/>
  <c r="AL39" i="23"/>
  <c r="AK43" i="23"/>
  <c r="AK44" i="23"/>
  <c r="AM37" i="23"/>
  <c r="AM41" i="23" s="1"/>
  <c r="AL47" i="22"/>
  <c r="AL54" i="22"/>
  <c r="AM42" i="22"/>
  <c r="AM49" i="22" s="1"/>
  <c r="AL44" i="22"/>
  <c r="AL56" i="22"/>
  <c r="AL45" i="22"/>
  <c r="AL52" i="22"/>
  <c r="AL46" i="22"/>
  <c r="AI50" i="21"/>
  <c r="AI48" i="21"/>
  <c r="AH45" i="21"/>
  <c r="AI43" i="21"/>
  <c r="AJ38" i="21"/>
  <c r="AJ52" i="21" s="1"/>
  <c r="AI40" i="21"/>
  <c r="AI41" i="21"/>
  <c r="AI42" i="21"/>
  <c r="AG49" i="20"/>
  <c r="AH42" i="20"/>
  <c r="AH43" i="20" s="1"/>
  <c r="AH46" i="20" s="1"/>
  <c r="AH47" i="20" s="1"/>
  <c r="H11" i="34"/>
  <c r="AR52" i="26" l="1"/>
  <c r="AQ47" i="31"/>
  <c r="AR39" i="31"/>
  <c r="AR41" i="31"/>
  <c r="AR45" i="31" s="1"/>
  <c r="AR40" i="31"/>
  <c r="AR44" i="31" s="1"/>
  <c r="AQ43" i="31"/>
  <c r="AP48" i="31"/>
  <c r="AP49" i="31" s="1"/>
  <c r="AP50" i="31"/>
  <c r="AP51" i="31" s="1"/>
  <c r="AP45" i="28"/>
  <c r="AP47" i="28"/>
  <c r="AP48" i="28" s="1"/>
  <c r="AP42" i="28"/>
  <c r="AP43" i="28" s="1"/>
  <c r="AO44" i="27"/>
  <c r="AO45" i="27" s="1"/>
  <c r="AO49" i="29"/>
  <c r="AO45" i="29" s="1"/>
  <c r="AP47" i="27"/>
  <c r="AP48" i="27"/>
  <c r="AP49" i="27"/>
  <c r="AO50" i="27"/>
  <c r="AS41" i="33"/>
  <c r="AS42" i="33" s="1"/>
  <c r="AS43" i="33" s="1"/>
  <c r="AT40" i="33"/>
  <c r="AN46" i="29"/>
  <c r="AP47" i="29"/>
  <c r="AP48" i="29"/>
  <c r="AO42" i="29"/>
  <c r="AO43" i="29"/>
  <c r="AO44" i="29"/>
  <c r="AR44" i="32"/>
  <c r="AR45" i="32" s="1"/>
  <c r="AR37" i="32"/>
  <c r="AR41" i="32"/>
  <c r="AR43" i="32" s="1"/>
  <c r="AR40" i="32"/>
  <c r="AR42" i="32" s="1"/>
  <c r="AS36" i="32"/>
  <c r="AT36" i="31"/>
  <c r="AS37" i="31"/>
  <c r="AP38" i="29"/>
  <c r="AQ37" i="29"/>
  <c r="AN46" i="28"/>
  <c r="AQ40" i="28"/>
  <c r="AQ41" i="28" s="1"/>
  <c r="AP43" i="27"/>
  <c r="AQ41" i="27"/>
  <c r="AQ42" i="27" s="1"/>
  <c r="AR51" i="26"/>
  <c r="AS50" i="26"/>
  <c r="AM58" i="25"/>
  <c r="AN50" i="25"/>
  <c r="AN53" i="25"/>
  <c r="AN54" i="25"/>
  <c r="AO42" i="25"/>
  <c r="AO47" i="25"/>
  <c r="AO41" i="25"/>
  <c r="AO46" i="25"/>
  <c r="AO45" i="25"/>
  <c r="AO43" i="25"/>
  <c r="AN49" i="25"/>
  <c r="AP39" i="25"/>
  <c r="AM48" i="23"/>
  <c r="AM47" i="23"/>
  <c r="H51" i="24"/>
  <c r="H50" i="24"/>
  <c r="H53" i="24"/>
  <c r="H54" i="24"/>
  <c r="G52" i="24"/>
  <c r="AL49" i="24"/>
  <c r="AN45" i="24"/>
  <c r="AM46" i="24"/>
  <c r="I47" i="24"/>
  <c r="AM40" i="23"/>
  <c r="AM39" i="23"/>
  <c r="AL43" i="23"/>
  <c r="AL44" i="23"/>
  <c r="AL46" i="23"/>
  <c r="AL45" i="23"/>
  <c r="AN37" i="23"/>
  <c r="AN41" i="23" s="1"/>
  <c r="AM54" i="22"/>
  <c r="AM44" i="22"/>
  <c r="AM56" i="22"/>
  <c r="AM45" i="22"/>
  <c r="AN42" i="22"/>
  <c r="AN49" i="22" s="1"/>
  <c r="AM52" i="22"/>
  <c r="AM46" i="22"/>
  <c r="AM47" i="22"/>
  <c r="AJ50" i="21"/>
  <c r="AJ48" i="21"/>
  <c r="AI45" i="21"/>
  <c r="AK38" i="21"/>
  <c r="AK52" i="21" s="1"/>
  <c r="AJ43" i="21"/>
  <c r="AJ40" i="21"/>
  <c r="AJ41" i="21"/>
  <c r="AJ42" i="21"/>
  <c r="AH49" i="20"/>
  <c r="AI42" i="20"/>
  <c r="AI43" i="20" s="1"/>
  <c r="AI46" i="20" s="1"/>
  <c r="AI47" i="20" s="1"/>
  <c r="AS52" i="26" l="1"/>
  <c r="AR43" i="31"/>
  <c r="AQ48" i="31"/>
  <c r="AQ49" i="31" s="1"/>
  <c r="AQ50" i="31"/>
  <c r="AQ51" i="31" s="1"/>
  <c r="AR47" i="31"/>
  <c r="AS39" i="31"/>
  <c r="AS41" i="31"/>
  <c r="AS45" i="31" s="1"/>
  <c r="AS40" i="31"/>
  <c r="AS44" i="31" s="1"/>
  <c r="AQ42" i="28"/>
  <c r="AQ43" i="28" s="1"/>
  <c r="AQ47" i="28"/>
  <c r="AQ48" i="28" s="1"/>
  <c r="AQ45" i="28"/>
  <c r="AP44" i="27"/>
  <c r="AP45" i="27" s="1"/>
  <c r="AP49" i="29"/>
  <c r="AP45" i="29" s="1"/>
  <c r="AO46" i="29"/>
  <c r="AQ47" i="27"/>
  <c r="AQ49" i="27"/>
  <c r="AQ48" i="27"/>
  <c r="AP50" i="27"/>
  <c r="AT41" i="33"/>
  <c r="AT42" i="33" s="1"/>
  <c r="AT43" i="33" s="1"/>
  <c r="AU40" i="33"/>
  <c r="AQ47" i="29"/>
  <c r="AQ48" i="29"/>
  <c r="AP43" i="29"/>
  <c r="AP42" i="29"/>
  <c r="AP44" i="29"/>
  <c r="AS37" i="32"/>
  <c r="AS40" i="32"/>
  <c r="AS42" i="32" s="1"/>
  <c r="AT36" i="32"/>
  <c r="AS41" i="32"/>
  <c r="AS43" i="32" s="1"/>
  <c r="AS44" i="32"/>
  <c r="AS45" i="32" s="1"/>
  <c r="AT37" i="31"/>
  <c r="AU36" i="31"/>
  <c r="AQ38" i="29"/>
  <c r="AR37" i="29"/>
  <c r="AO46" i="28"/>
  <c r="AR40" i="28"/>
  <c r="AR41" i="28" s="1"/>
  <c r="AQ43" i="27"/>
  <c r="AR41" i="27"/>
  <c r="AR42" i="27" s="1"/>
  <c r="AS51" i="26"/>
  <c r="AT50" i="26"/>
  <c r="AN58" i="25"/>
  <c r="AO50" i="25"/>
  <c r="AO53" i="25"/>
  <c r="AO54" i="25"/>
  <c r="AO49" i="25"/>
  <c r="AP42" i="25"/>
  <c r="AP47" i="25"/>
  <c r="AP41" i="25"/>
  <c r="AP46" i="25"/>
  <c r="AP45" i="25"/>
  <c r="AP43" i="25"/>
  <c r="AQ39" i="25"/>
  <c r="AN47" i="23"/>
  <c r="AN48" i="23"/>
  <c r="I54" i="24"/>
  <c r="I53" i="24"/>
  <c r="H52" i="24"/>
  <c r="I50" i="24"/>
  <c r="I51" i="24"/>
  <c r="J47" i="24"/>
  <c r="AM49" i="24"/>
  <c r="AO45" i="24"/>
  <c r="AN46" i="24"/>
  <c r="AN40" i="23"/>
  <c r="AN39" i="23"/>
  <c r="AM43" i="23"/>
  <c r="AM44" i="23"/>
  <c r="AM46" i="23"/>
  <c r="AM45" i="23"/>
  <c r="AO37" i="23"/>
  <c r="AO41" i="23" s="1"/>
  <c r="AN54" i="22"/>
  <c r="AO42" i="22"/>
  <c r="AO49" i="22" s="1"/>
  <c r="AN44" i="22"/>
  <c r="AN56" i="22"/>
  <c r="AN45" i="22"/>
  <c r="AN52" i="22"/>
  <c r="AN46" i="22"/>
  <c r="AN47" i="22"/>
  <c r="AK50" i="21"/>
  <c r="AK48" i="21"/>
  <c r="AJ45" i="21"/>
  <c r="AL38" i="21"/>
  <c r="AL52" i="21" s="1"/>
  <c r="AK40" i="21"/>
  <c r="AK41" i="21"/>
  <c r="AK42" i="21"/>
  <c r="AK43" i="21"/>
  <c r="AI49" i="20"/>
  <c r="AJ42" i="20"/>
  <c r="AJ43" i="20" s="1"/>
  <c r="AJ46" i="20" s="1"/>
  <c r="AJ47" i="20" s="1"/>
  <c r="AT52" i="26" l="1"/>
  <c r="AS47" i="31"/>
  <c r="AS43" i="31"/>
  <c r="AR48" i="31"/>
  <c r="AR49" i="31" s="1"/>
  <c r="AR50" i="31"/>
  <c r="AR51" i="31" s="1"/>
  <c r="C26" i="31" s="1"/>
  <c r="AT39" i="31"/>
  <c r="AT41" i="31"/>
  <c r="AT45" i="31" s="1"/>
  <c r="AT40" i="31"/>
  <c r="AT44" i="31" s="1"/>
  <c r="AR47" i="28"/>
  <c r="AR48" i="28" s="1"/>
  <c r="AR45" i="28"/>
  <c r="AR42" i="28"/>
  <c r="AR43" i="28" s="1"/>
  <c r="AQ44" i="27"/>
  <c r="AQ45" i="27" s="1"/>
  <c r="AQ49" i="29"/>
  <c r="AQ45" i="29" s="1"/>
  <c r="AR48" i="27"/>
  <c r="AR49" i="27"/>
  <c r="AR47" i="27"/>
  <c r="AQ50" i="27"/>
  <c r="AV40" i="33"/>
  <c r="AV41" i="33" s="1"/>
  <c r="AV42" i="33" s="1"/>
  <c r="AU41" i="33"/>
  <c r="AU42" i="33" s="1"/>
  <c r="AU43" i="33" s="1"/>
  <c r="AR47" i="29"/>
  <c r="AR48" i="29"/>
  <c r="AP46" i="29"/>
  <c r="AQ42" i="29"/>
  <c r="AQ43" i="29"/>
  <c r="AQ44" i="29"/>
  <c r="AT40" i="32"/>
  <c r="AT42" i="32" s="1"/>
  <c r="AT41" i="32"/>
  <c r="AT43" i="32" s="1"/>
  <c r="AU36" i="32"/>
  <c r="AT37" i="32"/>
  <c r="AT44" i="32"/>
  <c r="AT45" i="32" s="1"/>
  <c r="AU37" i="31"/>
  <c r="AV36" i="31"/>
  <c r="AV37" i="31" s="1"/>
  <c r="AR38" i="29"/>
  <c r="AS37" i="29"/>
  <c r="AP46" i="28"/>
  <c r="AS40" i="28"/>
  <c r="AS41" i="28" s="1"/>
  <c r="AR43" i="27"/>
  <c r="AS41" i="27"/>
  <c r="AS42" i="27" s="1"/>
  <c r="AT51" i="26"/>
  <c r="AU50" i="26"/>
  <c r="AU51" i="26" s="1"/>
  <c r="AO58" i="25"/>
  <c r="AP50" i="25"/>
  <c r="AP54" i="25"/>
  <c r="AP53" i="25"/>
  <c r="AP49" i="25"/>
  <c r="AQ42" i="25"/>
  <c r="AQ47" i="25"/>
  <c r="AQ43" i="25"/>
  <c r="AQ41" i="25"/>
  <c r="AQ45" i="25"/>
  <c r="AQ46" i="25"/>
  <c r="AR39" i="25"/>
  <c r="AO48" i="23"/>
  <c r="AO47" i="23"/>
  <c r="J54" i="24"/>
  <c r="J53" i="24"/>
  <c r="I52" i="24"/>
  <c r="AP45" i="24"/>
  <c r="AO46" i="24"/>
  <c r="AN49" i="24"/>
  <c r="J50" i="24"/>
  <c r="J51" i="24"/>
  <c r="K47" i="24"/>
  <c r="AO39" i="23"/>
  <c r="AO40" i="23"/>
  <c r="AN43" i="23"/>
  <c r="AN44" i="23"/>
  <c r="AN45" i="23"/>
  <c r="AN46" i="23"/>
  <c r="AP37" i="23"/>
  <c r="AP41" i="23" s="1"/>
  <c r="AP42" i="22"/>
  <c r="AP49" i="22" s="1"/>
  <c r="AO44" i="22"/>
  <c r="AO56" i="22"/>
  <c r="AO46" i="22"/>
  <c r="AO45" i="22"/>
  <c r="AO52" i="22"/>
  <c r="AO47" i="22"/>
  <c r="AO54" i="22"/>
  <c r="AL50" i="21"/>
  <c r="AL48" i="21"/>
  <c r="AK45" i="21"/>
  <c r="AM38" i="21"/>
  <c r="AM52" i="21" s="1"/>
  <c r="AL40" i="21"/>
  <c r="AL41" i="21"/>
  <c r="AL42" i="21"/>
  <c r="AL43" i="21"/>
  <c r="AJ49" i="20"/>
  <c r="AK42" i="20"/>
  <c r="AK43" i="20" s="1"/>
  <c r="AK46" i="20" s="1"/>
  <c r="AK47" i="20" s="1"/>
  <c r="H28" i="34"/>
  <c r="AT47" i="31" l="1"/>
  <c r="AV39" i="31"/>
  <c r="AV40" i="31"/>
  <c r="AV41" i="31"/>
  <c r="AT43" i="31"/>
  <c r="AS48" i="31"/>
  <c r="AS49" i="31" s="1"/>
  <c r="AS50" i="31"/>
  <c r="AS51" i="31" s="1"/>
  <c r="AU39" i="31"/>
  <c r="AU40" i="31"/>
  <c r="AU44" i="31" s="1"/>
  <c r="AU41" i="31"/>
  <c r="AU45" i="31" s="1"/>
  <c r="AS42" i="28"/>
  <c r="AS43" i="28" s="1"/>
  <c r="AS45" i="28"/>
  <c r="AS47" i="28"/>
  <c r="AS48" i="28" s="1"/>
  <c r="AR44" i="27"/>
  <c r="AR45" i="27" s="1"/>
  <c r="AR49" i="29"/>
  <c r="AR45" i="29" s="1"/>
  <c r="AR50" i="27"/>
  <c r="AS49" i="27"/>
  <c r="AS48" i="27"/>
  <c r="AS47" i="27"/>
  <c r="AV43" i="33"/>
  <c r="AS47" i="29"/>
  <c r="AS48" i="29"/>
  <c r="AQ46" i="29"/>
  <c r="AR43" i="29"/>
  <c r="AR44" i="29"/>
  <c r="AR42" i="29"/>
  <c r="AU40" i="32"/>
  <c r="AU42" i="32" s="1"/>
  <c r="AU41" i="32"/>
  <c r="AU43" i="32" s="1"/>
  <c r="AU37" i="32"/>
  <c r="AU44" i="32"/>
  <c r="AU45" i="32" s="1"/>
  <c r="C27" i="32" s="1"/>
  <c r="AS38" i="29"/>
  <c r="AT37" i="29"/>
  <c r="AQ46" i="28"/>
  <c r="AT40" i="28"/>
  <c r="AT41" i="28" s="1"/>
  <c r="AS43" i="27"/>
  <c r="AT41" i="27"/>
  <c r="AT42" i="27" s="1"/>
  <c r="AU52" i="26"/>
  <c r="AP58" i="25"/>
  <c r="AQ49" i="25"/>
  <c r="AQ50" i="25"/>
  <c r="AQ54" i="25"/>
  <c r="AQ53" i="25"/>
  <c r="AR43" i="25"/>
  <c r="AR42" i="25"/>
  <c r="AR47" i="25"/>
  <c r="AR41" i="25"/>
  <c r="AR46" i="25"/>
  <c r="AR45" i="25"/>
  <c r="AS39" i="25"/>
  <c r="AP47" i="23"/>
  <c r="AP48" i="23"/>
  <c r="K54" i="24"/>
  <c r="K53" i="24"/>
  <c r="J52" i="24"/>
  <c r="K50" i="24"/>
  <c r="K51" i="24"/>
  <c r="L47" i="24"/>
  <c r="AO49" i="24"/>
  <c r="AQ45" i="24"/>
  <c r="AP46" i="24"/>
  <c r="AP39" i="23"/>
  <c r="AP40" i="23"/>
  <c r="AO45" i="23"/>
  <c r="AO46" i="23"/>
  <c r="AO43" i="23"/>
  <c r="AO44" i="23"/>
  <c r="AQ37" i="23"/>
  <c r="AQ41" i="23" s="1"/>
  <c r="AP44" i="22"/>
  <c r="AQ42" i="22"/>
  <c r="AQ49" i="22" s="1"/>
  <c r="AP56" i="22"/>
  <c r="AP46" i="22"/>
  <c r="AP45" i="22"/>
  <c r="AP52" i="22"/>
  <c r="AP47" i="22"/>
  <c r="AP54" i="22"/>
  <c r="AM50" i="21"/>
  <c r="AM48" i="21"/>
  <c r="AL45" i="21"/>
  <c r="AN38" i="21"/>
  <c r="AN52" i="21" s="1"/>
  <c r="AM40" i="21"/>
  <c r="AM41" i="21"/>
  <c r="AM42" i="21"/>
  <c r="AM43" i="21"/>
  <c r="AK49" i="20"/>
  <c r="AL42" i="20"/>
  <c r="AL43" i="20" s="1"/>
  <c r="AL46" i="20" s="1"/>
  <c r="AL47" i="20" s="1"/>
  <c r="I11" i="34"/>
  <c r="J11" i="34"/>
  <c r="AV44" i="31" l="1"/>
  <c r="AV45" i="31"/>
  <c r="AU43" i="31"/>
  <c r="AT50" i="31"/>
  <c r="AT51" i="31" s="1"/>
  <c r="AT48" i="31"/>
  <c r="AT49" i="31" s="1"/>
  <c r="AV47" i="31"/>
  <c r="AU47" i="31"/>
  <c r="AT47" i="28"/>
  <c r="AT48" i="28" s="1"/>
  <c r="AT42" i="28"/>
  <c r="AT43" i="28" s="1"/>
  <c r="AT45" i="28"/>
  <c r="AS44" i="27"/>
  <c r="AS45" i="27" s="1"/>
  <c r="AS50" i="27"/>
  <c r="AR46" i="29"/>
  <c r="AS49" i="29"/>
  <c r="AS45" i="29" s="1"/>
  <c r="AT48" i="27"/>
  <c r="AT49" i="27"/>
  <c r="AT47" i="27"/>
  <c r="AT47" i="29"/>
  <c r="AT48" i="29"/>
  <c r="AS43" i="29"/>
  <c r="AS44" i="29"/>
  <c r="AS42" i="29"/>
  <c r="AT38" i="29"/>
  <c r="AU37" i="29"/>
  <c r="AR46" i="28"/>
  <c r="AU40" i="28"/>
  <c r="AU41" i="28" s="1"/>
  <c r="AT43" i="27"/>
  <c r="AU41" i="27"/>
  <c r="AU42" i="27" s="1"/>
  <c r="AQ58" i="25"/>
  <c r="AR50" i="25"/>
  <c r="AR53" i="25"/>
  <c r="AR54" i="25"/>
  <c r="AR49" i="25"/>
  <c r="AS43" i="25"/>
  <c r="AS42" i="25"/>
  <c r="AS47" i="25"/>
  <c r="AS41" i="25"/>
  <c r="AS46" i="25"/>
  <c r="AS45" i="25"/>
  <c r="AT39" i="25"/>
  <c r="AQ48" i="23"/>
  <c r="AQ47" i="23"/>
  <c r="L54" i="24"/>
  <c r="L53" i="24"/>
  <c r="AP49" i="24"/>
  <c r="L50" i="24"/>
  <c r="L51" i="24"/>
  <c r="M47" i="24"/>
  <c r="AR45" i="24"/>
  <c r="AQ46" i="24"/>
  <c r="K52" i="24"/>
  <c r="AQ40" i="23"/>
  <c r="AQ39" i="23"/>
  <c r="AP45" i="23"/>
  <c r="AP46" i="23"/>
  <c r="AP43" i="23"/>
  <c r="AP44" i="23"/>
  <c r="AR37" i="23"/>
  <c r="AR41" i="23" s="1"/>
  <c r="AQ56" i="22"/>
  <c r="AQ45" i="22"/>
  <c r="AQ52" i="22"/>
  <c r="AQ46" i="22"/>
  <c r="AQ47" i="22"/>
  <c r="AQ44" i="22"/>
  <c r="AQ54" i="22"/>
  <c r="AR42" i="22"/>
  <c r="AR49" i="22" s="1"/>
  <c r="AN50" i="21"/>
  <c r="AN48" i="21"/>
  <c r="AM45" i="21"/>
  <c r="AN40" i="21"/>
  <c r="AN41" i="21"/>
  <c r="AN42" i="21"/>
  <c r="AN43" i="21"/>
  <c r="AO38" i="21"/>
  <c r="AO52" i="21" s="1"/>
  <c r="AL49" i="20"/>
  <c r="AM42" i="20"/>
  <c r="AM43" i="20" s="1"/>
  <c r="AM46" i="20" s="1"/>
  <c r="AM47" i="20" s="1"/>
  <c r="AV43" i="31" l="1"/>
  <c r="AU50" i="31"/>
  <c r="AU51" i="31" s="1"/>
  <c r="AU48" i="31"/>
  <c r="AU49" i="31" s="1"/>
  <c r="AU45" i="28"/>
  <c r="AU42" i="28"/>
  <c r="AU43" i="28" s="1"/>
  <c r="AU47" i="28"/>
  <c r="AU48" i="28" s="1"/>
  <c r="AT49" i="29"/>
  <c r="AT45" i="29" s="1"/>
  <c r="AT44" i="27"/>
  <c r="AT45" i="27" s="1"/>
  <c r="AS49" i="25"/>
  <c r="AT50" i="27"/>
  <c r="AS46" i="29"/>
  <c r="AU47" i="27"/>
  <c r="AU49" i="27"/>
  <c r="AU48" i="27"/>
  <c r="AU47" i="29"/>
  <c r="AU48" i="29"/>
  <c r="AT44" i="29"/>
  <c r="AT43" i="29"/>
  <c r="AT42" i="29"/>
  <c r="AU38" i="29"/>
  <c r="AS46" i="28"/>
  <c r="AU43" i="27"/>
  <c r="AR58" i="25"/>
  <c r="AS50" i="25"/>
  <c r="AS53" i="25"/>
  <c r="AS54" i="25"/>
  <c r="AT43" i="25"/>
  <c r="AT46" i="25"/>
  <c r="AT42" i="25"/>
  <c r="AT47" i="25"/>
  <c r="AT45" i="25"/>
  <c r="AT41" i="25"/>
  <c r="AU39" i="25"/>
  <c r="AR47" i="23"/>
  <c r="AR48" i="23"/>
  <c r="M54" i="24"/>
  <c r="M53" i="24"/>
  <c r="L52" i="24"/>
  <c r="AS45" i="24"/>
  <c r="AR46" i="24"/>
  <c r="AQ49" i="24"/>
  <c r="M50" i="24"/>
  <c r="M51" i="24"/>
  <c r="N47" i="24"/>
  <c r="AR39" i="23"/>
  <c r="AR40" i="23"/>
  <c r="AQ43" i="23"/>
  <c r="AQ44" i="23"/>
  <c r="AQ45" i="23"/>
  <c r="AQ46" i="23"/>
  <c r="AS37" i="23"/>
  <c r="AS41" i="23" s="1"/>
  <c r="AR44" i="22"/>
  <c r="AR56" i="22"/>
  <c r="AR45" i="22"/>
  <c r="AR52" i="22"/>
  <c r="AR46" i="22"/>
  <c r="AR47" i="22"/>
  <c r="AR54" i="22"/>
  <c r="AS42" i="22"/>
  <c r="AS49" i="22" s="1"/>
  <c r="AO50" i="21"/>
  <c r="AO48" i="21"/>
  <c r="AN45" i="21"/>
  <c r="AO40" i="21"/>
  <c r="AO41" i="21"/>
  <c r="AO42" i="21"/>
  <c r="AO43" i="21"/>
  <c r="AP38" i="21"/>
  <c r="AP52" i="21" s="1"/>
  <c r="AM49" i="20"/>
  <c r="AN42" i="20"/>
  <c r="AN43" i="20" s="1"/>
  <c r="AN46" i="20" s="1"/>
  <c r="AN47" i="20" s="1"/>
  <c r="AV50" i="31" l="1"/>
  <c r="AV51" i="31" s="1"/>
  <c r="AV48" i="31"/>
  <c r="AV49" i="31" s="1"/>
  <c r="AU44" i="27"/>
  <c r="AU45" i="27" s="1"/>
  <c r="AU49" i="29"/>
  <c r="AU45" i="29" s="1"/>
  <c r="AT46" i="29"/>
  <c r="AU50" i="27"/>
  <c r="AU43" i="29"/>
  <c r="AU42" i="29"/>
  <c r="AU44" i="29"/>
  <c r="AT46" i="28"/>
  <c r="AS58" i="25"/>
  <c r="AT49" i="25"/>
  <c r="AT54" i="25"/>
  <c r="AT53" i="25"/>
  <c r="AT50" i="25"/>
  <c r="AU43" i="25"/>
  <c r="AU45" i="25"/>
  <c r="AU42" i="25"/>
  <c r="AU47" i="25"/>
  <c r="AU41" i="25"/>
  <c r="AU46" i="25"/>
  <c r="AS48" i="23"/>
  <c r="AS47" i="23"/>
  <c r="N54" i="24"/>
  <c r="N53" i="24"/>
  <c r="M52" i="24"/>
  <c r="N50" i="24"/>
  <c r="N51" i="24"/>
  <c r="O47" i="24"/>
  <c r="AR49" i="24"/>
  <c r="AT45" i="24"/>
  <c r="AS46" i="24"/>
  <c r="AS40" i="23"/>
  <c r="AS39" i="23"/>
  <c r="AR45" i="23"/>
  <c r="AR46" i="23"/>
  <c r="AR44" i="23"/>
  <c r="AR43" i="23"/>
  <c r="AT37" i="23"/>
  <c r="AT41" i="23" s="1"/>
  <c r="AS44" i="22"/>
  <c r="AS56" i="22"/>
  <c r="AS45" i="22"/>
  <c r="AS52" i="22"/>
  <c r="AS46" i="22"/>
  <c r="AS47" i="22"/>
  <c r="AS54" i="22"/>
  <c r="AT42" i="22"/>
  <c r="AT49" i="22" s="1"/>
  <c r="AP50" i="21"/>
  <c r="AP48" i="21"/>
  <c r="AO45" i="21"/>
  <c r="AP40" i="21"/>
  <c r="AP41" i="21"/>
  <c r="AP42" i="21"/>
  <c r="AP43" i="21"/>
  <c r="AQ38" i="21"/>
  <c r="AQ52" i="21" s="1"/>
  <c r="AN49" i="20"/>
  <c r="AO42" i="20"/>
  <c r="AO43" i="20" s="1"/>
  <c r="AO46" i="20" s="1"/>
  <c r="AO47" i="20" s="1"/>
  <c r="C27" i="31" l="1"/>
  <c r="AU46" i="29"/>
  <c r="AU46" i="28"/>
  <c r="AT58" i="25"/>
  <c r="AU54" i="25"/>
  <c r="AU53" i="25"/>
  <c r="AU50" i="25"/>
  <c r="AU49" i="25"/>
  <c r="AT48" i="23"/>
  <c r="AT47" i="23"/>
  <c r="O53" i="24"/>
  <c r="O54" i="24"/>
  <c r="AT46" i="24"/>
  <c r="AU45" i="24"/>
  <c r="AS49" i="24"/>
  <c r="O50" i="24"/>
  <c r="O51" i="24"/>
  <c r="P47" i="24"/>
  <c r="N52" i="24"/>
  <c r="AT39" i="23"/>
  <c r="AT40" i="23"/>
  <c r="AS43" i="23"/>
  <c r="AS44" i="23"/>
  <c r="AS45" i="23"/>
  <c r="AS46" i="23"/>
  <c r="AU37" i="23"/>
  <c r="AU41" i="23" s="1"/>
  <c r="AT56" i="22"/>
  <c r="AT47" i="22"/>
  <c r="AT52" i="22"/>
  <c r="AT44" i="22"/>
  <c r="AT45" i="22"/>
  <c r="AT46" i="22"/>
  <c r="AT54" i="22"/>
  <c r="AU42" i="22"/>
  <c r="AU49" i="22" s="1"/>
  <c r="AQ50" i="21"/>
  <c r="AQ48" i="21"/>
  <c r="AP45" i="21"/>
  <c r="AQ41" i="21"/>
  <c r="AQ42" i="21"/>
  <c r="AQ43" i="21"/>
  <c r="AQ40" i="21"/>
  <c r="AR38" i="21"/>
  <c r="AR52" i="21" s="1"/>
  <c r="AO49" i="20"/>
  <c r="AP42" i="20"/>
  <c r="AP43" i="20" s="1"/>
  <c r="AP46" i="20" s="1"/>
  <c r="AP47" i="20" s="1"/>
  <c r="I28" i="34"/>
  <c r="J28" i="34"/>
  <c r="AU58" i="25" l="1"/>
  <c r="AU48" i="23"/>
  <c r="AU47" i="23"/>
  <c r="P54" i="24"/>
  <c r="P53" i="24"/>
  <c r="P50" i="24"/>
  <c r="P51" i="24"/>
  <c r="Q47" i="24"/>
  <c r="O52" i="24"/>
  <c r="AV45" i="24"/>
  <c r="AV46" i="24" s="1"/>
  <c r="AU46" i="24"/>
  <c r="AT49" i="24"/>
  <c r="AU39" i="23"/>
  <c r="AU40" i="23"/>
  <c r="AT45" i="23"/>
  <c r="AT46" i="23"/>
  <c r="AT44" i="23"/>
  <c r="AT43" i="23"/>
  <c r="AV37" i="23"/>
  <c r="AV41" i="23" s="1"/>
  <c r="AU45" i="22"/>
  <c r="AU52" i="22"/>
  <c r="AU46" i="22"/>
  <c r="AU47" i="22"/>
  <c r="AU54" i="22"/>
  <c r="AV42" i="22"/>
  <c r="AV49" i="22" s="1"/>
  <c r="AU56" i="22"/>
  <c r="AU44" i="22"/>
  <c r="AR50" i="21"/>
  <c r="AR48" i="21"/>
  <c r="AQ45" i="21"/>
  <c r="AR41" i="21"/>
  <c r="AR42" i="21"/>
  <c r="AR43" i="21"/>
  <c r="AS38" i="21"/>
  <c r="AS52" i="21" s="1"/>
  <c r="AR40" i="21"/>
  <c r="AP49" i="20"/>
  <c r="AQ42" i="20"/>
  <c r="AQ43" i="20" s="1"/>
  <c r="AQ46" i="20" s="1"/>
  <c r="AQ47" i="20" s="1"/>
  <c r="AV47" i="23" l="1"/>
  <c r="AV48" i="23"/>
  <c r="Q53" i="24"/>
  <c r="Q54" i="24"/>
  <c r="Q50" i="24"/>
  <c r="Q51" i="24"/>
  <c r="R47" i="24"/>
  <c r="AU49" i="24"/>
  <c r="AV49" i="24"/>
  <c r="P52" i="24"/>
  <c r="AV40" i="23"/>
  <c r="AV39" i="23"/>
  <c r="AU45" i="23"/>
  <c r="AU46" i="23"/>
  <c r="AU44" i="23"/>
  <c r="AU43" i="23"/>
  <c r="AV45" i="22"/>
  <c r="AV52" i="22"/>
  <c r="AV46" i="22"/>
  <c r="AV47" i="22"/>
  <c r="AV54" i="22"/>
  <c r="AV44" i="22"/>
  <c r="AV56" i="22"/>
  <c r="AR45" i="21"/>
  <c r="AS50" i="21"/>
  <c r="AS48" i="21"/>
  <c r="AS41" i="21"/>
  <c r="AS42" i="21"/>
  <c r="AT38" i="21"/>
  <c r="AT52" i="21" s="1"/>
  <c r="AS43" i="21"/>
  <c r="AS40" i="21"/>
  <c r="AQ49" i="20"/>
  <c r="AR42" i="20"/>
  <c r="AR43" i="20" s="1"/>
  <c r="AR46" i="20" s="1"/>
  <c r="AR47" i="20" s="1"/>
  <c r="R53" i="24" l="1"/>
  <c r="R54" i="24"/>
  <c r="R51" i="24"/>
  <c r="S47" i="24"/>
  <c r="R50" i="24"/>
  <c r="Q52" i="24"/>
  <c r="AV44" i="23"/>
  <c r="AV43" i="23"/>
  <c r="AV46" i="23"/>
  <c r="AV45" i="23"/>
  <c r="AT50" i="21"/>
  <c r="AT48" i="21"/>
  <c r="AS45" i="21"/>
  <c r="AT42" i="21"/>
  <c r="AT43" i="21"/>
  <c r="AU38" i="21"/>
  <c r="AU52" i="21" s="1"/>
  <c r="AT41" i="21"/>
  <c r="AT40" i="21"/>
  <c r="AR49" i="20"/>
  <c r="AS42" i="20"/>
  <c r="AS43" i="20" s="1"/>
  <c r="AS46" i="20" s="1"/>
  <c r="AS47" i="20" s="1"/>
  <c r="R52" i="24" l="1"/>
  <c r="S54" i="24"/>
  <c r="S53" i="24"/>
  <c r="S51" i="24"/>
  <c r="T47" i="24"/>
  <c r="S50" i="24"/>
  <c r="AT45" i="21"/>
  <c r="AU50" i="21"/>
  <c r="AU48" i="21"/>
  <c r="AU42" i="21"/>
  <c r="AU43" i="21"/>
  <c r="AV38" i="21"/>
  <c r="AV52" i="21" s="1"/>
  <c r="AU40" i="21"/>
  <c r="AU41" i="21"/>
  <c r="AS49" i="20"/>
  <c r="AT42" i="20"/>
  <c r="AT43" i="20" s="1"/>
  <c r="AT46" i="20" s="1"/>
  <c r="AT47" i="20" s="1"/>
  <c r="S52" i="24" l="1"/>
  <c r="T54" i="24"/>
  <c r="T53" i="24"/>
  <c r="T51" i="24"/>
  <c r="U47" i="24"/>
  <c r="T50" i="24"/>
  <c r="AV50" i="21"/>
  <c r="AV48" i="21"/>
  <c r="AU45" i="21"/>
  <c r="AV42" i="21"/>
  <c r="AV43" i="21"/>
  <c r="AV40" i="21"/>
  <c r="AV41" i="21"/>
  <c r="AT49" i="20"/>
  <c r="AU42" i="20"/>
  <c r="AU43" i="20" s="1"/>
  <c r="AU46" i="20" s="1"/>
  <c r="AU47" i="20" s="1"/>
  <c r="U53" i="24" l="1"/>
  <c r="U54" i="24"/>
  <c r="T52" i="24"/>
  <c r="V47" i="24"/>
  <c r="U51" i="24"/>
  <c r="U50" i="24"/>
  <c r="AV45" i="21"/>
  <c r="AU49" i="20"/>
  <c r="AV42" i="20"/>
  <c r="AV43" i="20" s="1"/>
  <c r="AV46" i="20" s="1"/>
  <c r="AV47" i="20" s="1"/>
  <c r="U52" i="24" l="1"/>
  <c r="V53" i="24"/>
  <c r="V54" i="24"/>
  <c r="W47" i="24"/>
  <c r="V50" i="24"/>
  <c r="V51" i="24"/>
  <c r="AV49" i="20"/>
  <c r="E9" i="19"/>
  <c r="D46" i="19" s="1"/>
  <c r="E10" i="19"/>
  <c r="D47" i="19" s="1"/>
  <c r="D50" i="19"/>
  <c r="W54" i="24" l="1"/>
  <c r="W53" i="24"/>
  <c r="V52" i="24"/>
  <c r="X47" i="24"/>
  <c r="W50" i="24"/>
  <c r="W51" i="24"/>
  <c r="E43" i="19"/>
  <c r="E12" i="19"/>
  <c r="D49" i="19" s="1"/>
  <c r="E11" i="19"/>
  <c r="D48" i="19" s="1"/>
  <c r="D52" i="19" s="1"/>
  <c r="E8" i="19"/>
  <c r="E9" i="18"/>
  <c r="D44" i="18" s="1"/>
  <c r="E10" i="18"/>
  <c r="E12" i="18"/>
  <c r="E8" i="18"/>
  <c r="E41" i="18"/>
  <c r="D46" i="17"/>
  <c r="D52" i="17" s="1"/>
  <c r="D53" i="17" s="1"/>
  <c r="D54" i="17" s="1"/>
  <c r="D55" i="17" s="1"/>
  <c r="E43" i="17"/>
  <c r="F43" i="17" s="1"/>
  <c r="F46" i="17" s="1"/>
  <c r="C9" i="17"/>
  <c r="D55" i="8"/>
  <c r="B24" i="8"/>
  <c r="C9" i="8"/>
  <c r="D41" i="7"/>
  <c r="C12" i="7"/>
  <c r="E40" i="7"/>
  <c r="F40" i="7" s="1"/>
  <c r="F41" i="7" s="1"/>
  <c r="G3" i="7"/>
  <c r="B3" i="7"/>
  <c r="C9" i="16"/>
  <c r="D3" i="16"/>
  <c r="B3" i="16"/>
  <c r="G286" i="4"/>
  <c r="I286" i="4" s="1"/>
  <c r="H273" i="4"/>
  <c r="H272" i="4"/>
  <c r="G274" i="4"/>
  <c r="F274" i="4"/>
  <c r="C278" i="4" s="1"/>
  <c r="C279" i="4" s="1"/>
  <c r="D274" i="4"/>
  <c r="C274" i="4"/>
  <c r="U20" i="34"/>
  <c r="E45" i="18" l="1"/>
  <c r="D58" i="19"/>
  <c r="D43" i="18"/>
  <c r="D52" i="18"/>
  <c r="D53" i="18" s="1"/>
  <c r="D54" i="18" s="1"/>
  <c r="D55" i="18" s="1"/>
  <c r="F41" i="18"/>
  <c r="G41" i="18" s="1"/>
  <c r="E46" i="18"/>
  <c r="E52" i="18"/>
  <c r="E53" i="18" s="1"/>
  <c r="E54" i="18" s="1"/>
  <c r="E55" i="18" s="1"/>
  <c r="E45" i="17"/>
  <c r="E48" i="17" s="1"/>
  <c r="E46" i="19"/>
  <c r="E58" i="19"/>
  <c r="E47" i="19"/>
  <c r="X54" i="24"/>
  <c r="X53" i="24"/>
  <c r="X50" i="24"/>
  <c r="X51" i="24"/>
  <c r="Y47" i="24"/>
  <c r="W52" i="24"/>
  <c r="E50" i="19"/>
  <c r="D45" i="19"/>
  <c r="E45" i="19"/>
  <c r="E48" i="19"/>
  <c r="E52" i="19" s="1"/>
  <c r="E49" i="19"/>
  <c r="F43" i="19"/>
  <c r="E47" i="18"/>
  <c r="D45" i="18"/>
  <c r="E44" i="18"/>
  <c r="F44" i="18"/>
  <c r="E43" i="18"/>
  <c r="F47" i="18"/>
  <c r="D47" i="18"/>
  <c r="E46" i="17"/>
  <c r="E52" i="17" s="1"/>
  <c r="G43" i="17"/>
  <c r="G46" i="17" s="1"/>
  <c r="F45" i="17"/>
  <c r="D45" i="17"/>
  <c r="D56" i="8"/>
  <c r="E41" i="7"/>
  <c r="G40" i="7"/>
  <c r="G41" i="7" s="1"/>
  <c r="E40" i="16"/>
  <c r="D42" i="16"/>
  <c r="C294" i="4"/>
  <c r="H274" i="4"/>
  <c r="G285" i="4"/>
  <c r="G288" i="4"/>
  <c r="G287" i="4"/>
  <c r="F43" i="18" l="1"/>
  <c r="F45" i="18"/>
  <c r="E49" i="18"/>
  <c r="E59" i="19"/>
  <c r="E60" i="19" s="1"/>
  <c r="E49" i="17"/>
  <c r="F52" i="18"/>
  <c r="F53" i="18" s="1"/>
  <c r="F54" i="18" s="1"/>
  <c r="F55" i="18" s="1"/>
  <c r="F46" i="18"/>
  <c r="G46" i="18"/>
  <c r="G52" i="18"/>
  <c r="G53" i="18" s="1"/>
  <c r="G54" i="18" s="1"/>
  <c r="G55" i="18" s="1"/>
  <c r="D49" i="18"/>
  <c r="D51" i="19"/>
  <c r="D55" i="19" s="1"/>
  <c r="D54" i="19"/>
  <c r="E51" i="19"/>
  <c r="E55" i="19" s="1"/>
  <c r="F47" i="19"/>
  <c r="F58" i="19"/>
  <c r="F59" i="19" s="1"/>
  <c r="F60" i="19" s="1"/>
  <c r="F46" i="19"/>
  <c r="E54" i="19"/>
  <c r="Y54" i="24"/>
  <c r="Y53" i="24"/>
  <c r="X52" i="24"/>
  <c r="Y50" i="24"/>
  <c r="Y51" i="24"/>
  <c r="Z47" i="24"/>
  <c r="V51" i="23"/>
  <c r="AL51" i="23"/>
  <c r="F51" i="23"/>
  <c r="AM51" i="23"/>
  <c r="G51" i="23"/>
  <c r="AA51" i="23"/>
  <c r="AQ51" i="23"/>
  <c r="AC51" i="23"/>
  <c r="P51" i="23"/>
  <c r="AH51" i="23"/>
  <c r="W51" i="23"/>
  <c r="X51" i="23"/>
  <c r="AN51" i="23"/>
  <c r="H51" i="23"/>
  <c r="H55" i="23" s="1"/>
  <c r="AB51" i="23"/>
  <c r="AS51" i="23"/>
  <c r="AI51" i="23"/>
  <c r="Y51" i="23"/>
  <c r="AO51" i="23"/>
  <c r="I51" i="23"/>
  <c r="AR51" i="23"/>
  <c r="AU51" i="23"/>
  <c r="Q51" i="23"/>
  <c r="AK51" i="23"/>
  <c r="Z51" i="23"/>
  <c r="AP51" i="23"/>
  <c r="J51" i="23"/>
  <c r="M51" i="23"/>
  <c r="AE51" i="23"/>
  <c r="AG51" i="23"/>
  <c r="S51" i="23"/>
  <c r="E51" i="23"/>
  <c r="K51" i="23"/>
  <c r="L51" i="23"/>
  <c r="AF51" i="23"/>
  <c r="AJ51" i="23"/>
  <c r="N51" i="23"/>
  <c r="AD51" i="23"/>
  <c r="AT51" i="23"/>
  <c r="AV51" i="23"/>
  <c r="D51" i="23"/>
  <c r="D55" i="23" s="1"/>
  <c r="U51" i="23"/>
  <c r="O51" i="23"/>
  <c r="R51" i="23"/>
  <c r="T51" i="23"/>
  <c r="D55" i="22"/>
  <c r="E53" i="22"/>
  <c r="E57" i="22"/>
  <c r="D53" i="22"/>
  <c r="D57" i="22"/>
  <c r="E55" i="22"/>
  <c r="F55" i="22"/>
  <c r="F53" i="22"/>
  <c r="F57" i="22"/>
  <c r="G55" i="22"/>
  <c r="G53" i="22"/>
  <c r="G57" i="22"/>
  <c r="H55" i="22"/>
  <c r="H53" i="22"/>
  <c r="H57" i="22"/>
  <c r="I55" i="22"/>
  <c r="I57" i="22"/>
  <c r="I53" i="22"/>
  <c r="J57" i="22"/>
  <c r="J53" i="22"/>
  <c r="J55" i="22"/>
  <c r="K53" i="22"/>
  <c r="K55" i="22"/>
  <c r="K57" i="22"/>
  <c r="L53" i="22"/>
  <c r="L55" i="22"/>
  <c r="L57" i="22"/>
  <c r="M55" i="22"/>
  <c r="M53" i="22"/>
  <c r="M57" i="22"/>
  <c r="N55" i="22"/>
  <c r="N57" i="22"/>
  <c r="N53" i="22"/>
  <c r="O57" i="22"/>
  <c r="O53" i="22"/>
  <c r="O55" i="22"/>
  <c r="P55" i="22"/>
  <c r="P53" i="22"/>
  <c r="P57" i="22"/>
  <c r="Q53" i="22"/>
  <c r="Q55" i="22"/>
  <c r="Q57" i="22"/>
  <c r="R57" i="22"/>
  <c r="R53" i="22"/>
  <c r="R55" i="22"/>
  <c r="S57" i="22"/>
  <c r="S53" i="22"/>
  <c r="S55" i="22"/>
  <c r="T57" i="22"/>
  <c r="T55" i="22"/>
  <c r="T53" i="22"/>
  <c r="U53" i="22"/>
  <c r="U57" i="22"/>
  <c r="U55" i="22"/>
  <c r="V53" i="22"/>
  <c r="V57" i="22"/>
  <c r="V55" i="22"/>
  <c r="W57" i="22"/>
  <c r="W55" i="22"/>
  <c r="W53" i="22"/>
  <c r="X55" i="22"/>
  <c r="X53" i="22"/>
  <c r="X57" i="22"/>
  <c r="Y57" i="22"/>
  <c r="Y55" i="22"/>
  <c r="Y53" i="22"/>
  <c r="Z57" i="22"/>
  <c r="Z55" i="22"/>
  <c r="Z53" i="22"/>
  <c r="AA55" i="22"/>
  <c r="AA53" i="22"/>
  <c r="AA57" i="22"/>
  <c r="AB53" i="22"/>
  <c r="AB57" i="22"/>
  <c r="AB55" i="22"/>
  <c r="AC57" i="22"/>
  <c r="AC53" i="22"/>
  <c r="AC55" i="22"/>
  <c r="AD55" i="22"/>
  <c r="AD57" i="22"/>
  <c r="AD53" i="22"/>
  <c r="AE55" i="22"/>
  <c r="AE57" i="22"/>
  <c r="AE53" i="22"/>
  <c r="AF55" i="22"/>
  <c r="AF53" i="22"/>
  <c r="AF57" i="22"/>
  <c r="AG53" i="22"/>
  <c r="AG57" i="22"/>
  <c r="AG55" i="22"/>
  <c r="AH55" i="22"/>
  <c r="AH53" i="22"/>
  <c r="AH57" i="22"/>
  <c r="AI57" i="22"/>
  <c r="AI55" i="22"/>
  <c r="AI53" i="22"/>
  <c r="AJ57" i="22"/>
  <c r="AJ55" i="22"/>
  <c r="AJ53" i="22"/>
  <c r="AK57" i="22"/>
  <c r="AK53" i="22"/>
  <c r="AK55" i="22"/>
  <c r="AL57" i="22"/>
  <c r="AL53" i="22"/>
  <c r="AL55" i="22"/>
  <c r="AM57" i="22"/>
  <c r="AM55" i="22"/>
  <c r="AM53" i="22"/>
  <c r="AN55" i="22"/>
  <c r="AN57" i="22"/>
  <c r="AN53" i="22"/>
  <c r="AO55" i="22"/>
  <c r="AO57" i="22"/>
  <c r="AO53" i="22"/>
  <c r="AP57" i="22"/>
  <c r="AP53" i="22"/>
  <c r="AP55" i="22"/>
  <c r="AQ55" i="22"/>
  <c r="AQ57" i="22"/>
  <c r="AQ53" i="22"/>
  <c r="AR57" i="22"/>
  <c r="AR53" i="22"/>
  <c r="AR55" i="22"/>
  <c r="AS53" i="22"/>
  <c r="AS55" i="22"/>
  <c r="AS57" i="22"/>
  <c r="AT53" i="22"/>
  <c r="AT55" i="22"/>
  <c r="AT57" i="22"/>
  <c r="AU53" i="22"/>
  <c r="AU57" i="22"/>
  <c r="AU55" i="22"/>
  <c r="AV55" i="22"/>
  <c r="AV57" i="22"/>
  <c r="AV53" i="22"/>
  <c r="C301" i="4"/>
  <c r="D301" i="4" s="1"/>
  <c r="D49" i="21"/>
  <c r="E49" i="21"/>
  <c r="E51" i="21"/>
  <c r="D51" i="21"/>
  <c r="D53" i="21"/>
  <c r="E53" i="21"/>
  <c r="F49" i="21"/>
  <c r="G53" i="21"/>
  <c r="F51" i="21"/>
  <c r="F53" i="21"/>
  <c r="H53" i="21"/>
  <c r="G51" i="21"/>
  <c r="G49" i="21"/>
  <c r="H49" i="21"/>
  <c r="I51" i="21"/>
  <c r="H51" i="21"/>
  <c r="I49" i="21"/>
  <c r="J53" i="21"/>
  <c r="I53" i="21"/>
  <c r="J49" i="21"/>
  <c r="K53" i="21"/>
  <c r="J51" i="21"/>
  <c r="K49" i="21"/>
  <c r="L53" i="21"/>
  <c r="K51" i="21"/>
  <c r="L49" i="21"/>
  <c r="M53" i="21"/>
  <c r="L51" i="21"/>
  <c r="N53" i="21"/>
  <c r="M49" i="21"/>
  <c r="M51" i="21"/>
  <c r="O53" i="21"/>
  <c r="N51" i="21"/>
  <c r="N49" i="21"/>
  <c r="O49" i="21"/>
  <c r="O51" i="21"/>
  <c r="P53" i="21"/>
  <c r="P49" i="21"/>
  <c r="Q53" i="21"/>
  <c r="P51" i="21"/>
  <c r="Q51" i="21"/>
  <c r="Q49" i="21"/>
  <c r="R53" i="21"/>
  <c r="R49" i="21"/>
  <c r="S53" i="21"/>
  <c r="R51" i="21"/>
  <c r="S51" i="21"/>
  <c r="T53" i="21"/>
  <c r="S49" i="21"/>
  <c r="T49" i="21"/>
  <c r="T51" i="21"/>
  <c r="U53" i="21"/>
  <c r="U51" i="21"/>
  <c r="V53" i="21"/>
  <c r="U49" i="21"/>
  <c r="V49" i="21"/>
  <c r="W53" i="21"/>
  <c r="V51" i="21"/>
  <c r="W49" i="21"/>
  <c r="X53" i="21"/>
  <c r="W51" i="21"/>
  <c r="Y53" i="21"/>
  <c r="X49" i="21"/>
  <c r="X51" i="21"/>
  <c r="Z53" i="21"/>
  <c r="Y51" i="21"/>
  <c r="Y49" i="21"/>
  <c r="Z49" i="21"/>
  <c r="AA53" i="21"/>
  <c r="Z51" i="21"/>
  <c r="AB53" i="21"/>
  <c r="AA49" i="21"/>
  <c r="AA51" i="21"/>
  <c r="AC53" i="21"/>
  <c r="AB49" i="21"/>
  <c r="AB51" i="21"/>
  <c r="AC49" i="21"/>
  <c r="AC51" i="21"/>
  <c r="AD53" i="21"/>
  <c r="AE53" i="21"/>
  <c r="AD49" i="21"/>
  <c r="AD51" i="21"/>
  <c r="AE49" i="21"/>
  <c r="AF53" i="21"/>
  <c r="AE51" i="21"/>
  <c r="AF49" i="21"/>
  <c r="AF51" i="21"/>
  <c r="AG53" i="21"/>
  <c r="AG51" i="21"/>
  <c r="AH53" i="21"/>
  <c r="AG49" i="21"/>
  <c r="AH49" i="21"/>
  <c r="AH51" i="21"/>
  <c r="AI53" i="21"/>
  <c r="AI51" i="21"/>
  <c r="AJ53" i="21"/>
  <c r="AI49" i="21"/>
  <c r="AK53" i="21"/>
  <c r="AJ51" i="21"/>
  <c r="AJ49" i="21"/>
  <c r="AK49" i="21"/>
  <c r="AL53" i="21"/>
  <c r="AK51" i="21"/>
  <c r="AM53" i="21"/>
  <c r="AL49" i="21"/>
  <c r="AL51" i="21"/>
  <c r="AM51" i="21"/>
  <c r="AM49" i="21"/>
  <c r="AN53" i="21"/>
  <c r="AN49" i="21"/>
  <c r="AN51" i="21"/>
  <c r="AO53" i="21"/>
  <c r="AP53" i="21"/>
  <c r="AO51" i="21"/>
  <c r="AO49" i="21"/>
  <c r="AP49" i="21"/>
  <c r="AQ53" i="21"/>
  <c r="AP51" i="21"/>
  <c r="AQ49" i="21"/>
  <c r="AQ51" i="21"/>
  <c r="AR53" i="21"/>
  <c r="AR51" i="21"/>
  <c r="AR49" i="21"/>
  <c r="AS53" i="21"/>
  <c r="AS51" i="21"/>
  <c r="AT53" i="21"/>
  <c r="AS49" i="21"/>
  <c r="AT51" i="21"/>
  <c r="AU53" i="21"/>
  <c r="AT49" i="21"/>
  <c r="AV53" i="21"/>
  <c r="AU49" i="21"/>
  <c r="AU51" i="21"/>
  <c r="AV51" i="21"/>
  <c r="AV49" i="21"/>
  <c r="D59" i="19"/>
  <c r="D60" i="19" s="1"/>
  <c r="F50" i="19"/>
  <c r="F48" i="19"/>
  <c r="F52" i="19" s="1"/>
  <c r="F49" i="19"/>
  <c r="G43" i="19"/>
  <c r="F45" i="19"/>
  <c r="F52" i="17"/>
  <c r="E53" i="17"/>
  <c r="E54" i="17" s="1"/>
  <c r="E55" i="17" s="1"/>
  <c r="G43" i="18"/>
  <c r="G44" i="18"/>
  <c r="G47" i="18"/>
  <c r="G45" i="18"/>
  <c r="H41" i="18"/>
  <c r="D49" i="17"/>
  <c r="D48" i="17"/>
  <c r="F48" i="17"/>
  <c r="F49" i="17"/>
  <c r="H43" i="17"/>
  <c r="H46" i="17" s="1"/>
  <c r="G45" i="17"/>
  <c r="D60" i="8"/>
  <c r="D63" i="8"/>
  <c r="D57" i="8"/>
  <c r="D68" i="8" s="1"/>
  <c r="D58" i="8"/>
  <c r="H40" i="7"/>
  <c r="H41" i="7" s="1"/>
  <c r="D43" i="16"/>
  <c r="E42" i="16"/>
  <c r="E46" i="16" s="1"/>
  <c r="F40" i="16"/>
  <c r="I288" i="4"/>
  <c r="C296" i="4" s="1"/>
  <c r="G289" i="4"/>
  <c r="I285" i="4"/>
  <c r="I287" i="4"/>
  <c r="C295" i="4" s="1"/>
  <c r="F49" i="18" l="1"/>
  <c r="V52" i="23"/>
  <c r="V53" i="23" s="1"/>
  <c r="V55" i="23"/>
  <c r="AL52" i="23"/>
  <c r="AL53" i="23" s="1"/>
  <c r="AL55" i="23"/>
  <c r="F52" i="23"/>
  <c r="F53" i="23" s="1"/>
  <c r="F55" i="23"/>
  <c r="AM52" i="23"/>
  <c r="AM53" i="23" s="1"/>
  <c r="AM55" i="23"/>
  <c r="G52" i="23"/>
  <c r="G53" i="23" s="1"/>
  <c r="G55" i="23"/>
  <c r="AA52" i="23"/>
  <c r="AA53" i="23" s="1"/>
  <c r="AA55" i="23"/>
  <c r="AQ52" i="23"/>
  <c r="AQ53" i="23" s="1"/>
  <c r="AQ55" i="23"/>
  <c r="AC52" i="23"/>
  <c r="AC53" i="23" s="1"/>
  <c r="AC55" i="23"/>
  <c r="P52" i="23"/>
  <c r="Q296" i="4" s="1"/>
  <c r="P55" i="23"/>
  <c r="AH52" i="23"/>
  <c r="AH53" i="23" s="1"/>
  <c r="AH55" i="23"/>
  <c r="W52" i="23"/>
  <c r="W53" i="23" s="1"/>
  <c r="W55" i="23"/>
  <c r="X52" i="23"/>
  <c r="X53" i="23" s="1"/>
  <c r="X55" i="23"/>
  <c r="AN52" i="23"/>
  <c r="AN53" i="23" s="1"/>
  <c r="AN55" i="23"/>
  <c r="AB52" i="23"/>
  <c r="AB53" i="23" s="1"/>
  <c r="AB55" i="23"/>
  <c r="AS52" i="23"/>
  <c r="AS53" i="23" s="1"/>
  <c r="AS55" i="23"/>
  <c r="AI52" i="23"/>
  <c r="AI53" i="23" s="1"/>
  <c r="AI55" i="23"/>
  <c r="Y52" i="23"/>
  <c r="Y53" i="23" s="1"/>
  <c r="Y55" i="23"/>
  <c r="AO52" i="23"/>
  <c r="AO53" i="23" s="1"/>
  <c r="AO55" i="23"/>
  <c r="I52" i="23"/>
  <c r="I53" i="23" s="1"/>
  <c r="I55" i="23"/>
  <c r="AR52" i="23"/>
  <c r="AR53" i="23" s="1"/>
  <c r="AR55" i="23"/>
  <c r="AU52" i="23"/>
  <c r="AU53" i="23" s="1"/>
  <c r="AU55" i="23"/>
  <c r="Q52" i="23"/>
  <c r="R296" i="4" s="1"/>
  <c r="Q55" i="23"/>
  <c r="AK52" i="23"/>
  <c r="AL296" i="4" s="1"/>
  <c r="AK55" i="23"/>
  <c r="Z52" i="23"/>
  <c r="Z53" i="23" s="1"/>
  <c r="Z55" i="23"/>
  <c r="AP52" i="23"/>
  <c r="AP53" i="23" s="1"/>
  <c r="AP55" i="23"/>
  <c r="J52" i="23"/>
  <c r="K296" i="4" s="1"/>
  <c r="J55" i="23"/>
  <c r="M52" i="23"/>
  <c r="M53" i="23" s="1"/>
  <c r="M55" i="23"/>
  <c r="AE52" i="23"/>
  <c r="AF296" i="4" s="1"/>
  <c r="AE55" i="23"/>
  <c r="AG52" i="23"/>
  <c r="AH296" i="4" s="1"/>
  <c r="AG55" i="23"/>
  <c r="S52" i="23"/>
  <c r="S53" i="23" s="1"/>
  <c r="S55" i="23"/>
  <c r="E52" i="23"/>
  <c r="E53" i="23" s="1"/>
  <c r="E55" i="23"/>
  <c r="K52" i="23"/>
  <c r="K53" i="23" s="1"/>
  <c r="K55" i="23"/>
  <c r="L52" i="23"/>
  <c r="L53" i="23" s="1"/>
  <c r="L55" i="23"/>
  <c r="AF52" i="23"/>
  <c r="AF53" i="23" s="1"/>
  <c r="AF55" i="23"/>
  <c r="AJ52" i="23"/>
  <c r="AJ53" i="23" s="1"/>
  <c r="AJ55" i="23"/>
  <c r="N52" i="23"/>
  <c r="N53" i="23" s="1"/>
  <c r="N55" i="23"/>
  <c r="AD52" i="23"/>
  <c r="AD53" i="23" s="1"/>
  <c r="AD55" i="23"/>
  <c r="AT52" i="23"/>
  <c r="AT53" i="23" s="1"/>
  <c r="AT55" i="23"/>
  <c r="AV52" i="23"/>
  <c r="AV53" i="23" s="1"/>
  <c r="AV55" i="23"/>
  <c r="U52" i="23"/>
  <c r="V296" i="4" s="1"/>
  <c r="U55" i="23"/>
  <c r="O52" i="23"/>
  <c r="P296" i="4" s="1"/>
  <c r="O55" i="23"/>
  <c r="R52" i="23"/>
  <c r="R53" i="23" s="1"/>
  <c r="R55" i="23"/>
  <c r="T52" i="23"/>
  <c r="T53" i="23" s="1"/>
  <c r="T55" i="23"/>
  <c r="C293" i="4"/>
  <c r="D265" i="4" s="1"/>
  <c r="D293" i="4"/>
  <c r="E265" i="4" s="1"/>
  <c r="H46" i="18"/>
  <c r="H52" i="18"/>
  <c r="H53" i="18" s="1"/>
  <c r="H54" i="18" s="1"/>
  <c r="H55" i="18" s="1"/>
  <c r="G49" i="18"/>
  <c r="E47" i="16"/>
  <c r="E48" i="16" s="1"/>
  <c r="F54" i="19"/>
  <c r="AD59" i="22"/>
  <c r="N59" i="22"/>
  <c r="AM59" i="22"/>
  <c r="W59" i="22"/>
  <c r="G47" i="19"/>
  <c r="G46" i="19"/>
  <c r="G58" i="19"/>
  <c r="G59" i="19" s="1"/>
  <c r="G60" i="19" s="1"/>
  <c r="F51" i="19"/>
  <c r="F55" i="19" s="1"/>
  <c r="Z54" i="24"/>
  <c r="Z53" i="24"/>
  <c r="AQ59" i="22"/>
  <c r="AH59" i="22"/>
  <c r="AN59" i="22"/>
  <c r="Z50" i="24"/>
  <c r="Z51" i="24"/>
  <c r="AA47" i="24"/>
  <c r="Y52" i="24"/>
  <c r="H52" i="23"/>
  <c r="H53" i="23" s="1"/>
  <c r="D52" i="23"/>
  <c r="D53" i="23" s="1"/>
  <c r="AI59" i="22"/>
  <c r="R59" i="22"/>
  <c r="AU59" i="22"/>
  <c r="E59" i="22"/>
  <c r="AL59" i="22"/>
  <c r="F59" i="22"/>
  <c r="AF59" i="22"/>
  <c r="P59" i="22"/>
  <c r="AR55" i="21"/>
  <c r="G55" i="21"/>
  <c r="AJ59" i="22"/>
  <c r="T59" i="22"/>
  <c r="O59" i="22"/>
  <c r="AO59" i="22"/>
  <c r="Y59" i="22"/>
  <c r="I59" i="22"/>
  <c r="C303" i="4"/>
  <c r="D303" i="4" s="1"/>
  <c r="S59" i="22"/>
  <c r="H59" i="22"/>
  <c r="AC59" i="22"/>
  <c r="M59" i="22"/>
  <c r="C302" i="4"/>
  <c r="E302" i="4" s="1"/>
  <c r="K295" i="4"/>
  <c r="AA295" i="4"/>
  <c r="AQ295" i="4"/>
  <c r="AB295" i="4"/>
  <c r="AR295" i="4"/>
  <c r="M295" i="4"/>
  <c r="AC295" i="4"/>
  <c r="AS295" i="4"/>
  <c r="O295" i="4"/>
  <c r="AU295" i="4"/>
  <c r="AF295" i="4"/>
  <c r="R295" i="4"/>
  <c r="N295" i="4"/>
  <c r="AD295" i="4"/>
  <c r="AT295" i="4"/>
  <c r="AE295" i="4"/>
  <c r="P295" i="4"/>
  <c r="AV295" i="4"/>
  <c r="Q295" i="4"/>
  <c r="AG295" i="4"/>
  <c r="AW295" i="4"/>
  <c r="T295" i="4"/>
  <c r="AJ295" i="4"/>
  <c r="U295" i="4"/>
  <c r="AK295" i="4"/>
  <c r="F295" i="4"/>
  <c r="V295" i="4"/>
  <c r="AL295" i="4"/>
  <c r="Y295" i="4"/>
  <c r="AO295" i="4"/>
  <c r="Z295" i="4"/>
  <c r="G295" i="4"/>
  <c r="W295" i="4"/>
  <c r="AM295" i="4"/>
  <c r="L295" i="4"/>
  <c r="AH295" i="4"/>
  <c r="H295" i="4"/>
  <c r="X295" i="4"/>
  <c r="AN295" i="4"/>
  <c r="I295" i="4"/>
  <c r="AP295" i="4"/>
  <c r="J295" i="4"/>
  <c r="S295" i="4"/>
  <c r="AI295" i="4"/>
  <c r="AS59" i="22"/>
  <c r="G59" i="22"/>
  <c r="AR59" i="22"/>
  <c r="AB59" i="22"/>
  <c r="L59" i="22"/>
  <c r="AG59" i="22"/>
  <c r="Q59" i="22"/>
  <c r="AV59" i="22"/>
  <c r="AA59" i="22"/>
  <c r="V59" i="22"/>
  <c r="AT59" i="22"/>
  <c r="X59" i="22"/>
  <c r="K59" i="22"/>
  <c r="AK59" i="22"/>
  <c r="Z59" i="22"/>
  <c r="AP59" i="22"/>
  <c r="AE59" i="22"/>
  <c r="U59" i="22"/>
  <c r="J59" i="22"/>
  <c r="D59" i="22"/>
  <c r="S55" i="21"/>
  <c r="D55" i="21"/>
  <c r="AD55" i="21"/>
  <c r="AS55" i="21"/>
  <c r="X55" i="21"/>
  <c r="V55" i="21"/>
  <c r="AB55" i="21"/>
  <c r="L55" i="21"/>
  <c r="E55" i="21"/>
  <c r="AT55" i="21"/>
  <c r="T55" i="21"/>
  <c r="N55" i="21"/>
  <c r="I55" i="21"/>
  <c r="M55" i="21"/>
  <c r="H55" i="21"/>
  <c r="AC55" i="21"/>
  <c r="AM55" i="21"/>
  <c r="AH55" i="21"/>
  <c r="R55" i="21"/>
  <c r="AG55" i="21"/>
  <c r="W55" i="21"/>
  <c r="AI55" i="21"/>
  <c r="Q55" i="21"/>
  <c r="AN55" i="21"/>
  <c r="AL55" i="21"/>
  <c r="AA55" i="21"/>
  <c r="AV55" i="21"/>
  <c r="AQ55" i="21"/>
  <c r="U55" i="21"/>
  <c r="K55" i="21"/>
  <c r="F55" i="21"/>
  <c r="P55" i="21"/>
  <c r="AK55" i="21"/>
  <c r="AF55" i="21"/>
  <c r="Z55" i="21"/>
  <c r="J55" i="21"/>
  <c r="E295" i="4"/>
  <c r="AU55" i="21"/>
  <c r="AP55" i="21"/>
  <c r="AJ55" i="21"/>
  <c r="AO55" i="21"/>
  <c r="AE55" i="21"/>
  <c r="Y55" i="21"/>
  <c r="O55" i="21"/>
  <c r="G50" i="19"/>
  <c r="G48" i="19"/>
  <c r="G52" i="19" s="1"/>
  <c r="H43" i="19"/>
  <c r="G49" i="19"/>
  <c r="G45" i="19"/>
  <c r="G52" i="17"/>
  <c r="F53" i="17"/>
  <c r="F54" i="17" s="1"/>
  <c r="F55" i="17" s="1"/>
  <c r="H43" i="18"/>
  <c r="H44" i="18"/>
  <c r="H45" i="18"/>
  <c r="H47" i="18"/>
  <c r="I41" i="18"/>
  <c r="G48" i="17"/>
  <c r="G49" i="17"/>
  <c r="I43" i="17"/>
  <c r="I46" i="17" s="1"/>
  <c r="H45" i="17"/>
  <c r="D61" i="8"/>
  <c r="D62" i="8"/>
  <c r="D64" i="8" s="1"/>
  <c r="I40" i="7"/>
  <c r="I41" i="7" s="1"/>
  <c r="E43" i="16"/>
  <c r="F42" i="16"/>
  <c r="F46" i="16" s="1"/>
  <c r="G40" i="16"/>
  <c r="I289" i="4"/>
  <c r="D295" i="4"/>
  <c r="D296" i="4"/>
  <c r="E264" i="4" l="1"/>
  <c r="I52" i="18"/>
  <c r="I53" i="18" s="1"/>
  <c r="I54" i="18" s="1"/>
  <c r="I55" i="18" s="1"/>
  <c r="I46" i="18"/>
  <c r="H49" i="18"/>
  <c r="F47" i="16"/>
  <c r="F48" i="16" s="1"/>
  <c r="G54" i="19"/>
  <c r="D302" i="4"/>
  <c r="H46" i="19"/>
  <c r="H47" i="19"/>
  <c r="H58" i="19"/>
  <c r="H59" i="19" s="1"/>
  <c r="I303" i="4" s="1"/>
  <c r="G51" i="19"/>
  <c r="G55" i="19" s="1"/>
  <c r="AA54" i="24"/>
  <c r="AA53" i="24"/>
  <c r="AA50" i="24"/>
  <c r="AA51" i="24"/>
  <c r="AB47" i="24"/>
  <c r="Z52" i="24"/>
  <c r="C35" i="24"/>
  <c r="AI296" i="4"/>
  <c r="AV296" i="4"/>
  <c r="J53" i="23"/>
  <c r="AK53" i="23"/>
  <c r="AN296" i="4"/>
  <c r="H296" i="4"/>
  <c r="U53" i="23"/>
  <c r="AE53" i="23"/>
  <c r="X296" i="4"/>
  <c r="AK296" i="4"/>
  <c r="AM296" i="4"/>
  <c r="AS296" i="4"/>
  <c r="M296" i="4"/>
  <c r="AR296" i="4"/>
  <c r="AB296" i="4"/>
  <c r="P53" i="23"/>
  <c r="Q53" i="23"/>
  <c r="L296" i="4"/>
  <c r="AQ296" i="4"/>
  <c r="AG53" i="23"/>
  <c r="Z296" i="4"/>
  <c r="J296" i="4"/>
  <c r="Y296" i="4"/>
  <c r="I296" i="4"/>
  <c r="W296" i="4"/>
  <c r="AP296" i="4"/>
  <c r="G296" i="4"/>
  <c r="AT296" i="4"/>
  <c r="AO296" i="4"/>
  <c r="T296" i="4"/>
  <c r="N302" i="4"/>
  <c r="AD302" i="4"/>
  <c r="AT302" i="4"/>
  <c r="O302" i="4"/>
  <c r="AE302" i="4"/>
  <c r="AU302" i="4"/>
  <c r="U302" i="4"/>
  <c r="P302" i="4"/>
  <c r="AF302" i="4"/>
  <c r="AV302" i="4"/>
  <c r="R302" i="4"/>
  <c r="AH302" i="4"/>
  <c r="S302" i="4"/>
  <c r="AK302" i="4"/>
  <c r="Q302" i="4"/>
  <c r="AG302" i="4"/>
  <c r="AW302" i="4"/>
  <c r="AI302" i="4"/>
  <c r="T302" i="4"/>
  <c r="AJ302" i="4"/>
  <c r="G302" i="4"/>
  <c r="W302" i="4"/>
  <c r="AM302" i="4"/>
  <c r="H302" i="4"/>
  <c r="X302" i="4"/>
  <c r="AN302" i="4"/>
  <c r="V302" i="4"/>
  <c r="I302" i="4"/>
  <c r="Y302" i="4"/>
  <c r="AO302" i="4"/>
  <c r="AB302" i="4"/>
  <c r="AR302" i="4"/>
  <c r="AS302" i="4"/>
  <c r="J302" i="4"/>
  <c r="Z302" i="4"/>
  <c r="AP302" i="4"/>
  <c r="K302" i="4"/>
  <c r="AA302" i="4"/>
  <c r="AQ302" i="4"/>
  <c r="L302" i="4"/>
  <c r="AC302" i="4"/>
  <c r="M302" i="4"/>
  <c r="F302" i="4"/>
  <c r="AL302" i="4"/>
  <c r="AW296" i="4"/>
  <c r="AG296" i="4"/>
  <c r="O53" i="23"/>
  <c r="F296" i="4"/>
  <c r="AD296" i="4"/>
  <c r="AU296" i="4"/>
  <c r="U296" i="4"/>
  <c r="AE296" i="4"/>
  <c r="AA296" i="4"/>
  <c r="AJ296" i="4"/>
  <c r="O296" i="4"/>
  <c r="S296" i="4"/>
  <c r="E303" i="4"/>
  <c r="F303" i="4"/>
  <c r="G303" i="4"/>
  <c r="H303" i="4"/>
  <c r="N296" i="4"/>
  <c r="E296" i="4"/>
  <c r="AC296" i="4"/>
  <c r="H50" i="19"/>
  <c r="H48" i="19"/>
  <c r="H52" i="19" s="1"/>
  <c r="I43" i="19"/>
  <c r="H49" i="19"/>
  <c r="H45" i="19"/>
  <c r="G53" i="17"/>
  <c r="G54" i="17" s="1"/>
  <c r="G55" i="17" s="1"/>
  <c r="H52" i="17"/>
  <c r="I45" i="18"/>
  <c r="I43" i="18"/>
  <c r="I44" i="18"/>
  <c r="I47" i="18"/>
  <c r="J41" i="18"/>
  <c r="H48" i="17"/>
  <c r="H49" i="17"/>
  <c r="I45" i="17"/>
  <c r="J43" i="17"/>
  <c r="J46" i="17" s="1"/>
  <c r="J40" i="7"/>
  <c r="J41" i="7" s="1"/>
  <c r="F43" i="16"/>
  <c r="G42" i="16"/>
  <c r="G46" i="16" s="1"/>
  <c r="G47" i="16" s="1"/>
  <c r="H40" i="16"/>
  <c r="I49" i="18" l="1"/>
  <c r="J52" i="18"/>
  <c r="J53" i="18" s="1"/>
  <c r="J54" i="18" s="1"/>
  <c r="J55" i="18" s="1"/>
  <c r="J46" i="18"/>
  <c r="G48" i="16"/>
  <c r="H54" i="19"/>
  <c r="H51" i="19"/>
  <c r="H55" i="19" s="1"/>
  <c r="I46" i="19"/>
  <c r="I58" i="19"/>
  <c r="I59" i="19" s="1"/>
  <c r="J303" i="4" s="1"/>
  <c r="I47" i="19"/>
  <c r="AB53" i="24"/>
  <c r="AB54" i="24"/>
  <c r="AA52" i="24"/>
  <c r="AB50" i="24"/>
  <c r="AB51" i="24"/>
  <c r="AC47" i="24"/>
  <c r="H60" i="19"/>
  <c r="I50" i="19"/>
  <c r="I49" i="19"/>
  <c r="J43" i="19"/>
  <c r="I48" i="19"/>
  <c r="I52" i="19" s="1"/>
  <c r="I45" i="19"/>
  <c r="H53" i="17"/>
  <c r="H54" i="17" s="1"/>
  <c r="H55" i="17" s="1"/>
  <c r="I52" i="17"/>
  <c r="I53" i="17" s="1"/>
  <c r="I54" i="17" s="1"/>
  <c r="I55" i="17" s="1"/>
  <c r="J45" i="18"/>
  <c r="J44" i="18"/>
  <c r="J47" i="18"/>
  <c r="J43" i="18"/>
  <c r="K41" i="18"/>
  <c r="I48" i="17"/>
  <c r="I49" i="17"/>
  <c r="J45" i="17"/>
  <c r="K43" i="17"/>
  <c r="K46" i="17" s="1"/>
  <c r="K40" i="7"/>
  <c r="K41" i="7" s="1"/>
  <c r="G43" i="16"/>
  <c r="H42" i="16"/>
  <c r="H46" i="16" s="1"/>
  <c r="H47" i="16" s="1"/>
  <c r="I40" i="16"/>
  <c r="K52" i="18" l="1"/>
  <c r="K53" i="18" s="1"/>
  <c r="K54" i="18" s="1"/>
  <c r="K55" i="18" s="1"/>
  <c r="K46" i="18"/>
  <c r="J49" i="18"/>
  <c r="H48" i="16"/>
  <c r="I51" i="19"/>
  <c r="I55" i="19" s="1"/>
  <c r="J46" i="19"/>
  <c r="J47" i="19"/>
  <c r="J58" i="19"/>
  <c r="J59" i="19" s="1"/>
  <c r="K303" i="4" s="1"/>
  <c r="I54" i="19"/>
  <c r="AC54" i="24"/>
  <c r="AC53" i="24"/>
  <c r="AC50" i="24"/>
  <c r="AC51" i="24"/>
  <c r="AD47" i="24"/>
  <c r="AB52" i="24"/>
  <c r="I60" i="19"/>
  <c r="J52" i="17"/>
  <c r="J53" i="17" s="1"/>
  <c r="J54" i="17" s="1"/>
  <c r="J55" i="17" s="1"/>
  <c r="J50" i="19"/>
  <c r="J49" i="19"/>
  <c r="K43" i="19"/>
  <c r="J45" i="19"/>
  <c r="J48" i="19"/>
  <c r="J52" i="19" s="1"/>
  <c r="K45" i="18"/>
  <c r="K44" i="18"/>
  <c r="K47" i="18"/>
  <c r="K43" i="18"/>
  <c r="L41" i="18"/>
  <c r="J48" i="17"/>
  <c r="J49" i="17"/>
  <c r="K45" i="17"/>
  <c r="L43" i="17"/>
  <c r="L46" i="17" s="1"/>
  <c r="L40" i="7"/>
  <c r="L41" i="7" s="1"/>
  <c r="H43" i="16"/>
  <c r="J40" i="16"/>
  <c r="I42" i="16"/>
  <c r="I46" i="16" s="1"/>
  <c r="I47" i="16" s="1"/>
  <c r="K52" i="17" l="1"/>
  <c r="J51" i="19"/>
  <c r="J55" i="19" s="1"/>
  <c r="L52" i="18"/>
  <c r="L53" i="18" s="1"/>
  <c r="L54" i="18" s="1"/>
  <c r="L55" i="18" s="1"/>
  <c r="L46" i="18"/>
  <c r="K49" i="18"/>
  <c r="I48" i="16"/>
  <c r="K46" i="19"/>
  <c r="K47" i="19"/>
  <c r="K58" i="19"/>
  <c r="K59" i="19" s="1"/>
  <c r="L303" i="4" s="1"/>
  <c r="J54" i="19"/>
  <c r="AD54" i="24"/>
  <c r="AD53" i="24"/>
  <c r="AC52" i="24"/>
  <c r="C33" i="24"/>
  <c r="C32" i="24"/>
  <c r="AD50" i="24"/>
  <c r="AD51" i="24"/>
  <c r="AE47" i="24"/>
  <c r="J60" i="19"/>
  <c r="K50" i="19"/>
  <c r="K45" i="19"/>
  <c r="K49" i="19"/>
  <c r="L43" i="19"/>
  <c r="K48" i="19"/>
  <c r="K52" i="19" s="1"/>
  <c r="L45" i="18"/>
  <c r="L44" i="18"/>
  <c r="L43" i="18"/>
  <c r="L47" i="18"/>
  <c r="M41" i="18"/>
  <c r="K48" i="17"/>
  <c r="K49" i="17"/>
  <c r="L45" i="17"/>
  <c r="M43" i="17"/>
  <c r="M46" i="17" s="1"/>
  <c r="M40" i="7"/>
  <c r="M41" i="7" s="1"/>
  <c r="I43" i="16"/>
  <c r="K40" i="16"/>
  <c r="J42" i="16"/>
  <c r="J46" i="16" s="1"/>
  <c r="J47" i="16" s="1"/>
  <c r="F25" i="34"/>
  <c r="G25" i="34"/>
  <c r="K53" i="17" l="1"/>
  <c r="K54" i="17" s="1"/>
  <c r="K55" i="17" s="1"/>
  <c r="L52" i="17"/>
  <c r="L53" i="17" s="1"/>
  <c r="L54" i="17" s="1"/>
  <c r="L55" i="17" s="1"/>
  <c r="K51" i="19"/>
  <c r="K55" i="19" s="1"/>
  <c r="L49" i="18"/>
  <c r="M52" i="18"/>
  <c r="M53" i="18" s="1"/>
  <c r="M54" i="18" s="1"/>
  <c r="M55" i="18" s="1"/>
  <c r="M46" i="18"/>
  <c r="M52" i="17"/>
  <c r="M53" i="17" s="1"/>
  <c r="M54" i="17" s="1"/>
  <c r="M55" i="17" s="1"/>
  <c r="J48" i="16"/>
  <c r="L47" i="19"/>
  <c r="L46" i="19"/>
  <c r="L58" i="19"/>
  <c r="L59" i="19" s="1"/>
  <c r="M303" i="4" s="1"/>
  <c r="K54" i="19"/>
  <c r="AE54" i="24"/>
  <c r="AE53" i="24"/>
  <c r="AE50" i="24"/>
  <c r="AE51" i="24"/>
  <c r="AF47" i="24"/>
  <c r="AD52" i="24"/>
  <c r="K60" i="19"/>
  <c r="L50" i="19"/>
  <c r="L49" i="19"/>
  <c r="L45" i="19"/>
  <c r="M43" i="19"/>
  <c r="L48" i="19"/>
  <c r="L52" i="19" s="1"/>
  <c r="M45" i="18"/>
  <c r="M44" i="18"/>
  <c r="M43" i="18"/>
  <c r="M47" i="18"/>
  <c r="N41" i="18"/>
  <c r="L48" i="17"/>
  <c r="L49" i="17"/>
  <c r="N43" i="17"/>
  <c r="N46" i="17" s="1"/>
  <c r="M45" i="17"/>
  <c r="N40" i="7"/>
  <c r="N41" i="7" s="1"/>
  <c r="J43" i="16"/>
  <c r="L40" i="16"/>
  <c r="K42" i="16"/>
  <c r="K46" i="16" s="1"/>
  <c r="K47" i="16" s="1"/>
  <c r="N46" i="18" l="1"/>
  <c r="N52" i="18"/>
  <c r="N53" i="18" s="1"/>
  <c r="N54" i="18" s="1"/>
  <c r="N55" i="18" s="1"/>
  <c r="M49" i="18"/>
  <c r="N52" i="17"/>
  <c r="N53" i="17" s="1"/>
  <c r="N54" i="17" s="1"/>
  <c r="N55" i="17" s="1"/>
  <c r="K48" i="16"/>
  <c r="L54" i="19"/>
  <c r="L51" i="19"/>
  <c r="L55" i="19" s="1"/>
  <c r="M47" i="19"/>
  <c r="M46" i="19"/>
  <c r="M58" i="19"/>
  <c r="M59" i="19" s="1"/>
  <c r="N303" i="4" s="1"/>
  <c r="AF54" i="24"/>
  <c r="AF53" i="24"/>
  <c r="AF50" i="24"/>
  <c r="AF51" i="24"/>
  <c r="AG47" i="24"/>
  <c r="AE52" i="24"/>
  <c r="L60" i="19"/>
  <c r="M50" i="19"/>
  <c r="M49" i="19"/>
  <c r="N43" i="19"/>
  <c r="M45" i="19"/>
  <c r="M48" i="19"/>
  <c r="M52" i="19" s="1"/>
  <c r="N45" i="18"/>
  <c r="N44" i="18"/>
  <c r="N47" i="18"/>
  <c r="N43" i="18"/>
  <c r="O41" i="18"/>
  <c r="M48" i="17"/>
  <c r="M49" i="17"/>
  <c r="O43" i="17"/>
  <c r="O46" i="17" s="1"/>
  <c r="N45" i="17"/>
  <c r="O40" i="7"/>
  <c r="O41" i="7" s="1"/>
  <c r="K43" i="16"/>
  <c r="M40" i="16"/>
  <c r="L42" i="16"/>
  <c r="L46" i="16" s="1"/>
  <c r="L47" i="16" s="1"/>
  <c r="N49" i="18" l="1"/>
  <c r="O46" i="18"/>
  <c r="O52" i="18"/>
  <c r="O53" i="18" s="1"/>
  <c r="O54" i="18" s="1"/>
  <c r="O55" i="18" s="1"/>
  <c r="O52" i="17"/>
  <c r="O53" i="17" s="1"/>
  <c r="O54" i="17" s="1"/>
  <c r="O55" i="17" s="1"/>
  <c r="L48" i="16"/>
  <c r="M54" i="19"/>
  <c r="M51" i="19"/>
  <c r="M55" i="19" s="1"/>
  <c r="N47" i="19"/>
  <c r="N46" i="19"/>
  <c r="N58" i="19"/>
  <c r="N59" i="19" s="1"/>
  <c r="O303" i="4" s="1"/>
  <c r="AG53" i="24"/>
  <c r="AG54" i="24"/>
  <c r="AG50" i="24"/>
  <c r="AG51" i="24"/>
  <c r="AH47" i="24"/>
  <c r="AF52" i="24"/>
  <c r="M60" i="19"/>
  <c r="N50" i="19"/>
  <c r="N49" i="19"/>
  <c r="O43" i="19"/>
  <c r="N48" i="19"/>
  <c r="N52" i="19" s="1"/>
  <c r="N45" i="19"/>
  <c r="O45" i="18"/>
  <c r="O47" i="18"/>
  <c r="O44" i="18"/>
  <c r="O43" i="18"/>
  <c r="P41" i="18"/>
  <c r="N48" i="17"/>
  <c r="N49" i="17"/>
  <c r="P43" i="17"/>
  <c r="P46" i="17" s="1"/>
  <c r="O45" i="17"/>
  <c r="P40" i="7"/>
  <c r="P41" i="7" s="1"/>
  <c r="L43" i="16"/>
  <c r="N40" i="16"/>
  <c r="M42" i="16"/>
  <c r="M46" i="16" s="1"/>
  <c r="M47" i="16" s="1"/>
  <c r="D242" i="4"/>
  <c r="D249" i="4"/>
  <c r="D247" i="4"/>
  <c r="E247" i="4" s="1"/>
  <c r="F247" i="4" s="1"/>
  <c r="G247" i="4" s="1"/>
  <c r="H247" i="4" s="1"/>
  <c r="I247" i="4" s="1"/>
  <c r="J247" i="4" s="1"/>
  <c r="K247" i="4" s="1"/>
  <c r="L247" i="4" s="1"/>
  <c r="M247" i="4" s="1"/>
  <c r="N247" i="4" s="1"/>
  <c r="O247" i="4" s="1"/>
  <c r="P247" i="4" s="1"/>
  <c r="Q247" i="4" s="1"/>
  <c r="R247" i="4" s="1"/>
  <c r="S247" i="4" s="1"/>
  <c r="T247" i="4" s="1"/>
  <c r="U247" i="4" s="1"/>
  <c r="V247" i="4" s="1"/>
  <c r="W247" i="4" s="1"/>
  <c r="X247" i="4" s="1"/>
  <c r="Y247" i="4" s="1"/>
  <c r="Z247" i="4" s="1"/>
  <c r="AA247" i="4" s="1"/>
  <c r="AB247" i="4" s="1"/>
  <c r="AC247" i="4" s="1"/>
  <c r="AD247" i="4" s="1"/>
  <c r="AE247" i="4" s="1"/>
  <c r="AF247" i="4" s="1"/>
  <c r="AG247" i="4" s="1"/>
  <c r="AH247" i="4" s="1"/>
  <c r="AI247" i="4" s="1"/>
  <c r="AJ247" i="4" s="1"/>
  <c r="AK247" i="4" s="1"/>
  <c r="AL247" i="4" s="1"/>
  <c r="AM247" i="4" s="1"/>
  <c r="AN247" i="4" s="1"/>
  <c r="AO247" i="4" s="1"/>
  <c r="AP247" i="4" s="1"/>
  <c r="AQ247" i="4" s="1"/>
  <c r="AR247" i="4" s="1"/>
  <c r="AS247" i="4" s="1"/>
  <c r="AT247" i="4" s="1"/>
  <c r="AU247" i="4" s="1"/>
  <c r="AV247" i="4" s="1"/>
  <c r="AW247" i="4" s="1"/>
  <c r="AX247" i="4" s="1"/>
  <c r="AC225" i="4"/>
  <c r="AD225" i="4" s="1"/>
  <c r="AE225" i="4" s="1"/>
  <c r="AF225" i="4" s="1"/>
  <c r="AG225" i="4" s="1"/>
  <c r="AH225" i="4" s="1"/>
  <c r="AI225" i="4" s="1"/>
  <c r="AJ225" i="4" s="1"/>
  <c r="AK225" i="4" s="1"/>
  <c r="AL225" i="4" s="1"/>
  <c r="AM225" i="4" s="1"/>
  <c r="AN225" i="4" s="1"/>
  <c r="AO225" i="4" s="1"/>
  <c r="AP225" i="4" s="1"/>
  <c r="AQ225" i="4" s="1"/>
  <c r="AR225" i="4" s="1"/>
  <c r="AS225" i="4" s="1"/>
  <c r="AT225" i="4" s="1"/>
  <c r="AU225" i="4" s="1"/>
  <c r="AV225" i="4" s="1"/>
  <c r="D256" i="4"/>
  <c r="E256" i="4" s="1"/>
  <c r="F256" i="4" s="1"/>
  <c r="G256" i="4" s="1"/>
  <c r="H256" i="4" s="1"/>
  <c r="I256" i="4" s="1"/>
  <c r="J256" i="4" s="1"/>
  <c r="K256" i="4" s="1"/>
  <c r="L256" i="4" s="1"/>
  <c r="M256" i="4" s="1"/>
  <c r="N256" i="4" s="1"/>
  <c r="O256" i="4" s="1"/>
  <c r="P256" i="4" s="1"/>
  <c r="Q256" i="4" s="1"/>
  <c r="R256" i="4" s="1"/>
  <c r="S256" i="4" s="1"/>
  <c r="T256" i="4" s="1"/>
  <c r="U256" i="4" s="1"/>
  <c r="V256" i="4" s="1"/>
  <c r="W256" i="4" s="1"/>
  <c r="X256" i="4" s="1"/>
  <c r="Y256" i="4" s="1"/>
  <c r="Z256" i="4" s="1"/>
  <c r="AA256" i="4" s="1"/>
  <c r="AB256" i="4" s="1"/>
  <c r="AC256" i="4" s="1"/>
  <c r="AD256" i="4" s="1"/>
  <c r="AE256" i="4" s="1"/>
  <c r="AF256" i="4" s="1"/>
  <c r="AG256" i="4" s="1"/>
  <c r="AH256" i="4" s="1"/>
  <c r="AI256" i="4" s="1"/>
  <c r="AJ256" i="4" s="1"/>
  <c r="AK256" i="4" s="1"/>
  <c r="AL256" i="4" s="1"/>
  <c r="AM256" i="4" s="1"/>
  <c r="AN256" i="4" s="1"/>
  <c r="AO256" i="4" s="1"/>
  <c r="AP256" i="4" s="1"/>
  <c r="AQ256" i="4" s="1"/>
  <c r="AR256" i="4" s="1"/>
  <c r="AS256" i="4" s="1"/>
  <c r="AT256" i="4" s="1"/>
  <c r="AU256" i="4" s="1"/>
  <c r="AV256" i="4" s="1"/>
  <c r="AW256" i="4" s="1"/>
  <c r="AX256" i="4" s="1"/>
  <c r="D257" i="4"/>
  <c r="E257" i="4" s="1"/>
  <c r="F257" i="4" s="1"/>
  <c r="G257" i="4" s="1"/>
  <c r="H257" i="4" s="1"/>
  <c r="I257" i="4" s="1"/>
  <c r="J257" i="4" s="1"/>
  <c r="K257" i="4" s="1"/>
  <c r="L257" i="4" s="1"/>
  <c r="M257" i="4" s="1"/>
  <c r="N257" i="4" s="1"/>
  <c r="O257" i="4" s="1"/>
  <c r="P257" i="4" s="1"/>
  <c r="Q257" i="4" s="1"/>
  <c r="R257" i="4" s="1"/>
  <c r="S257" i="4" s="1"/>
  <c r="T257" i="4" s="1"/>
  <c r="U257" i="4" s="1"/>
  <c r="V257" i="4" s="1"/>
  <c r="W257" i="4" s="1"/>
  <c r="X257" i="4" s="1"/>
  <c r="Y257" i="4" s="1"/>
  <c r="Z257" i="4" s="1"/>
  <c r="AA257" i="4" s="1"/>
  <c r="AB257" i="4" s="1"/>
  <c r="AC257" i="4" s="1"/>
  <c r="AD257" i="4" s="1"/>
  <c r="AE257" i="4" s="1"/>
  <c r="AF257" i="4" s="1"/>
  <c r="AG257" i="4" s="1"/>
  <c r="AH257" i="4" s="1"/>
  <c r="AI257" i="4" s="1"/>
  <c r="AJ257" i="4" s="1"/>
  <c r="AK257" i="4" s="1"/>
  <c r="AL257" i="4" s="1"/>
  <c r="AM257" i="4" s="1"/>
  <c r="AN257" i="4" s="1"/>
  <c r="AO257" i="4" s="1"/>
  <c r="AP257" i="4" s="1"/>
  <c r="AQ257" i="4" s="1"/>
  <c r="AR257" i="4" s="1"/>
  <c r="AS257" i="4" s="1"/>
  <c r="AT257" i="4" s="1"/>
  <c r="AU257" i="4" s="1"/>
  <c r="AV257" i="4" s="1"/>
  <c r="AW257" i="4" s="1"/>
  <c r="AX257" i="4" s="1"/>
  <c r="D255" i="4"/>
  <c r="E255" i="4" s="1"/>
  <c r="F255" i="4" s="1"/>
  <c r="G255" i="4" s="1"/>
  <c r="H255" i="4" s="1"/>
  <c r="I255" i="4" s="1"/>
  <c r="J255" i="4" s="1"/>
  <c r="K255" i="4" s="1"/>
  <c r="L255" i="4" s="1"/>
  <c r="M255" i="4" s="1"/>
  <c r="N255" i="4" s="1"/>
  <c r="O255" i="4" s="1"/>
  <c r="P255" i="4" s="1"/>
  <c r="Q255" i="4" s="1"/>
  <c r="R255" i="4" s="1"/>
  <c r="S255" i="4" s="1"/>
  <c r="T255" i="4" s="1"/>
  <c r="U255" i="4" s="1"/>
  <c r="V255" i="4" s="1"/>
  <c r="W255" i="4" s="1"/>
  <c r="X255" i="4" s="1"/>
  <c r="Y255" i="4" s="1"/>
  <c r="Z255" i="4" s="1"/>
  <c r="AA255" i="4" s="1"/>
  <c r="AB255" i="4" s="1"/>
  <c r="AC255" i="4" s="1"/>
  <c r="AD255" i="4" s="1"/>
  <c r="AE255" i="4" s="1"/>
  <c r="AF255" i="4" s="1"/>
  <c r="AG255" i="4" s="1"/>
  <c r="AH255" i="4" s="1"/>
  <c r="AI255" i="4" s="1"/>
  <c r="AJ255" i="4" s="1"/>
  <c r="AK255" i="4" s="1"/>
  <c r="AL255" i="4" s="1"/>
  <c r="AM255" i="4" s="1"/>
  <c r="AN255" i="4" s="1"/>
  <c r="AO255" i="4" s="1"/>
  <c r="AP255" i="4" s="1"/>
  <c r="AQ255" i="4" s="1"/>
  <c r="AR255" i="4" s="1"/>
  <c r="AS255" i="4" s="1"/>
  <c r="AT255" i="4" s="1"/>
  <c r="AU255" i="4" s="1"/>
  <c r="AV255" i="4" s="1"/>
  <c r="AW255" i="4" s="1"/>
  <c r="AX255" i="4" s="1"/>
  <c r="D254" i="4"/>
  <c r="G234" i="4"/>
  <c r="H234" i="4"/>
  <c r="G235" i="4"/>
  <c r="I235" i="4"/>
  <c r="D243" i="4" s="1"/>
  <c r="G236" i="4"/>
  <c r="H236" i="4"/>
  <c r="D250" i="4" s="1"/>
  <c r="E250" i="4" s="1"/>
  <c r="F250" i="4" s="1"/>
  <c r="G250" i="4" s="1"/>
  <c r="H250" i="4" s="1"/>
  <c r="I250" i="4" s="1"/>
  <c r="J250" i="4" s="1"/>
  <c r="K250" i="4" s="1"/>
  <c r="L250" i="4" s="1"/>
  <c r="M250" i="4" s="1"/>
  <c r="N250" i="4" s="1"/>
  <c r="O250" i="4" s="1"/>
  <c r="P250" i="4" s="1"/>
  <c r="Q250" i="4" s="1"/>
  <c r="R250" i="4" s="1"/>
  <c r="S250" i="4" s="1"/>
  <c r="T250" i="4" s="1"/>
  <c r="U250" i="4" s="1"/>
  <c r="V250" i="4" s="1"/>
  <c r="W250" i="4" s="1"/>
  <c r="X250" i="4" s="1"/>
  <c r="Y250" i="4" s="1"/>
  <c r="Z250" i="4" s="1"/>
  <c r="AA250" i="4" s="1"/>
  <c r="AB250" i="4" s="1"/>
  <c r="AC250" i="4" s="1"/>
  <c r="AD250" i="4" s="1"/>
  <c r="AE250" i="4" s="1"/>
  <c r="AF250" i="4" s="1"/>
  <c r="AG250" i="4" s="1"/>
  <c r="AH250" i="4" s="1"/>
  <c r="AI250" i="4" s="1"/>
  <c r="AJ250" i="4" s="1"/>
  <c r="AK250" i="4" s="1"/>
  <c r="AL250" i="4" s="1"/>
  <c r="AM250" i="4" s="1"/>
  <c r="AN250" i="4" s="1"/>
  <c r="AO250" i="4" s="1"/>
  <c r="AP250" i="4" s="1"/>
  <c r="AQ250" i="4" s="1"/>
  <c r="AR250" i="4" s="1"/>
  <c r="AS250" i="4" s="1"/>
  <c r="AT250" i="4" s="1"/>
  <c r="AU250" i="4" s="1"/>
  <c r="AV250" i="4" s="1"/>
  <c r="AW250" i="4" s="1"/>
  <c r="AX250" i="4" s="1"/>
  <c r="I236" i="4"/>
  <c r="D244" i="4" s="1"/>
  <c r="I233" i="4"/>
  <c r="D241" i="4" s="1"/>
  <c r="E241" i="4" s="1"/>
  <c r="F241" i="4" s="1"/>
  <c r="G233" i="4"/>
  <c r="AD227" i="4"/>
  <c r="AE227" i="4" s="1"/>
  <c r="AF227" i="4" s="1"/>
  <c r="AG227" i="4" s="1"/>
  <c r="AH227" i="4" s="1"/>
  <c r="AI227" i="4" s="1"/>
  <c r="AJ227" i="4" s="1"/>
  <c r="AK227" i="4" s="1"/>
  <c r="AL227" i="4" s="1"/>
  <c r="AM227" i="4" s="1"/>
  <c r="AN227" i="4" s="1"/>
  <c r="AO227" i="4" s="1"/>
  <c r="AP227" i="4" s="1"/>
  <c r="AQ227" i="4" s="1"/>
  <c r="AR227" i="4" s="1"/>
  <c r="AS227" i="4" s="1"/>
  <c r="AT227" i="4" s="1"/>
  <c r="AU227" i="4" s="1"/>
  <c r="AV227" i="4" s="1"/>
  <c r="AD228" i="4"/>
  <c r="AE228" i="4" s="1"/>
  <c r="AF228" i="4" s="1"/>
  <c r="AG228" i="4" s="1"/>
  <c r="AH228" i="4" s="1"/>
  <c r="AI228" i="4" s="1"/>
  <c r="AJ228" i="4" s="1"/>
  <c r="AK228" i="4" s="1"/>
  <c r="AL228" i="4" s="1"/>
  <c r="AM228" i="4" s="1"/>
  <c r="AN228" i="4" s="1"/>
  <c r="AO228" i="4" s="1"/>
  <c r="AP228" i="4" s="1"/>
  <c r="AQ228" i="4" s="1"/>
  <c r="AR228" i="4" s="1"/>
  <c r="AS228" i="4" s="1"/>
  <c r="AT228" i="4" s="1"/>
  <c r="AU228" i="4" s="1"/>
  <c r="AV228" i="4" s="1"/>
  <c r="AD226" i="4"/>
  <c r="AE226" i="4" s="1"/>
  <c r="AF226" i="4" s="1"/>
  <c r="AG226" i="4" s="1"/>
  <c r="AH226" i="4" s="1"/>
  <c r="AI226" i="4" s="1"/>
  <c r="AJ226" i="4" s="1"/>
  <c r="AK226" i="4" s="1"/>
  <c r="AL226" i="4" s="1"/>
  <c r="AM226" i="4" s="1"/>
  <c r="AN226" i="4" s="1"/>
  <c r="AO226" i="4" s="1"/>
  <c r="AP226" i="4" s="1"/>
  <c r="AQ226" i="4" s="1"/>
  <c r="AR226" i="4" s="1"/>
  <c r="AS226" i="4" s="1"/>
  <c r="AT226" i="4" s="1"/>
  <c r="AU226" i="4" s="1"/>
  <c r="AV226" i="4" s="1"/>
  <c r="O227" i="4"/>
  <c r="P227" i="4" s="1"/>
  <c r="Q227" i="4" s="1"/>
  <c r="R227" i="4" s="1"/>
  <c r="S227" i="4" s="1"/>
  <c r="T227" i="4" s="1"/>
  <c r="U227" i="4" s="1"/>
  <c r="V227" i="4" s="1"/>
  <c r="W227" i="4" s="1"/>
  <c r="X227" i="4" s="1"/>
  <c r="Y227" i="4" s="1"/>
  <c r="Z227" i="4" s="1"/>
  <c r="AA227" i="4" s="1"/>
  <c r="AB227" i="4" s="1"/>
  <c r="O228" i="4"/>
  <c r="P228" i="4" s="1"/>
  <c r="Q228" i="4" s="1"/>
  <c r="R228" i="4" s="1"/>
  <c r="S228" i="4" s="1"/>
  <c r="T228" i="4" s="1"/>
  <c r="U228" i="4" s="1"/>
  <c r="V228" i="4" s="1"/>
  <c r="W228" i="4" s="1"/>
  <c r="X228" i="4" s="1"/>
  <c r="Y228" i="4" s="1"/>
  <c r="Z228" i="4" s="1"/>
  <c r="AA228" i="4" s="1"/>
  <c r="AB228" i="4" s="1"/>
  <c r="O226" i="4"/>
  <c r="P226" i="4" s="1"/>
  <c r="Q226" i="4" s="1"/>
  <c r="R226" i="4" s="1"/>
  <c r="S226" i="4" s="1"/>
  <c r="T226" i="4" s="1"/>
  <c r="U226" i="4" s="1"/>
  <c r="V226" i="4" s="1"/>
  <c r="W226" i="4" s="1"/>
  <c r="X226" i="4" s="1"/>
  <c r="Y226" i="4" s="1"/>
  <c r="Z226" i="4" s="1"/>
  <c r="AA226" i="4" s="1"/>
  <c r="AB226" i="4" s="1"/>
  <c r="N225" i="4"/>
  <c r="C237" i="4"/>
  <c r="C228" i="4" s="1"/>
  <c r="D228" i="4" s="1"/>
  <c r="E228" i="4" s="1"/>
  <c r="F228" i="4" s="1"/>
  <c r="G228" i="4" s="1"/>
  <c r="H228" i="4" s="1"/>
  <c r="I228" i="4" s="1"/>
  <c r="J228" i="4" s="1"/>
  <c r="K228" i="4" s="1"/>
  <c r="L228" i="4" s="1"/>
  <c r="M228" i="4" s="1"/>
  <c r="E254" i="4" l="1"/>
  <c r="F254" i="4" s="1"/>
  <c r="O49" i="18"/>
  <c r="P46" i="18"/>
  <c r="P52" i="18"/>
  <c r="P53" i="18" s="1"/>
  <c r="P54" i="18" s="1"/>
  <c r="P55" i="18" s="1"/>
  <c r="P52" i="17"/>
  <c r="P53" i="17" s="1"/>
  <c r="P54" i="17" s="1"/>
  <c r="P55" i="17" s="1"/>
  <c r="M48" i="16"/>
  <c r="O47" i="19"/>
  <c r="O46" i="19"/>
  <c r="O58" i="19"/>
  <c r="O59" i="19" s="1"/>
  <c r="P303" i="4" s="1"/>
  <c r="N54" i="19"/>
  <c r="N51" i="19"/>
  <c r="N55" i="19" s="1"/>
  <c r="AH53" i="24"/>
  <c r="AH54" i="24"/>
  <c r="AH51" i="24"/>
  <c r="AI47" i="24"/>
  <c r="AH50" i="24"/>
  <c r="AG52" i="24"/>
  <c r="N60" i="19"/>
  <c r="O50" i="19"/>
  <c r="P43" i="19"/>
  <c r="O48" i="19"/>
  <c r="O52" i="19" s="1"/>
  <c r="O45" i="19"/>
  <c r="O49" i="19"/>
  <c r="P45" i="18"/>
  <c r="P44" i="18"/>
  <c r="P43" i="18"/>
  <c r="P47" i="18"/>
  <c r="Q41" i="18"/>
  <c r="O48" i="17"/>
  <c r="O49" i="17"/>
  <c r="Q43" i="17"/>
  <c r="Q46" i="17" s="1"/>
  <c r="P45" i="17"/>
  <c r="G241" i="4"/>
  <c r="H241" i="4" s="1"/>
  <c r="I241" i="4" s="1"/>
  <c r="J241" i="4" s="1"/>
  <c r="K241" i="4" s="1"/>
  <c r="L241" i="4" s="1"/>
  <c r="M241" i="4" s="1"/>
  <c r="N241" i="4" s="1"/>
  <c r="O241" i="4" s="1"/>
  <c r="P241" i="4" s="1"/>
  <c r="Q241" i="4" s="1"/>
  <c r="R241" i="4" s="1"/>
  <c r="S241" i="4" s="1"/>
  <c r="T241" i="4" s="1"/>
  <c r="U241" i="4" s="1"/>
  <c r="V241" i="4" s="1"/>
  <c r="W241" i="4" s="1"/>
  <c r="X241" i="4" s="1"/>
  <c r="Y241" i="4" s="1"/>
  <c r="Z241" i="4" s="1"/>
  <c r="AA241" i="4" s="1"/>
  <c r="AB241" i="4" s="1"/>
  <c r="AC241" i="4" s="1"/>
  <c r="AD241" i="4" s="1"/>
  <c r="AE241" i="4" s="1"/>
  <c r="AF241" i="4" s="1"/>
  <c r="AG241" i="4" s="1"/>
  <c r="AH241" i="4" s="1"/>
  <c r="AI241" i="4" s="1"/>
  <c r="AJ241" i="4" s="1"/>
  <c r="AK241" i="4" s="1"/>
  <c r="AL241" i="4" s="1"/>
  <c r="AM241" i="4" s="1"/>
  <c r="AN241" i="4" s="1"/>
  <c r="AO241" i="4" s="1"/>
  <c r="AP241" i="4" s="1"/>
  <c r="AQ241" i="4" s="1"/>
  <c r="AR241" i="4" s="1"/>
  <c r="AS241" i="4" s="1"/>
  <c r="AT241" i="4" s="1"/>
  <c r="AU241" i="4" s="1"/>
  <c r="AV241" i="4" s="1"/>
  <c r="AW241" i="4" s="1"/>
  <c r="AX241" i="4" s="1"/>
  <c r="D69" i="8"/>
  <c r="Q40" i="7"/>
  <c r="Q41" i="7" s="1"/>
  <c r="M43" i="16"/>
  <c r="O40" i="16"/>
  <c r="N42" i="16"/>
  <c r="N46" i="16" s="1"/>
  <c r="N47" i="16" s="1"/>
  <c r="E242" i="4"/>
  <c r="F242" i="4" s="1"/>
  <c r="G242" i="4" s="1"/>
  <c r="H242" i="4" s="1"/>
  <c r="I242" i="4" s="1"/>
  <c r="J242" i="4" s="1"/>
  <c r="K242" i="4" s="1"/>
  <c r="L242" i="4" s="1"/>
  <c r="M242" i="4" s="1"/>
  <c r="N242" i="4" s="1"/>
  <c r="O242" i="4" s="1"/>
  <c r="P242" i="4" s="1"/>
  <c r="Q242" i="4" s="1"/>
  <c r="R242" i="4" s="1"/>
  <c r="S242" i="4" s="1"/>
  <c r="T242" i="4" s="1"/>
  <c r="U242" i="4" s="1"/>
  <c r="V242" i="4" s="1"/>
  <c r="W242" i="4" s="1"/>
  <c r="X242" i="4" s="1"/>
  <c r="Y242" i="4" s="1"/>
  <c r="D248" i="4"/>
  <c r="E248" i="4" s="1"/>
  <c r="F248" i="4" s="1"/>
  <c r="D70" i="8" s="1"/>
  <c r="D65" i="8" s="1"/>
  <c r="D66" i="8" s="1"/>
  <c r="E244" i="4"/>
  <c r="F244" i="4" s="1"/>
  <c r="G244" i="4" s="1"/>
  <c r="H244" i="4" s="1"/>
  <c r="I244" i="4" s="1"/>
  <c r="J244" i="4" s="1"/>
  <c r="K244" i="4" s="1"/>
  <c r="L244" i="4" s="1"/>
  <c r="M244" i="4" s="1"/>
  <c r="N244" i="4" s="1"/>
  <c r="O244" i="4" s="1"/>
  <c r="P244" i="4" s="1"/>
  <c r="Q244" i="4" s="1"/>
  <c r="R244" i="4" s="1"/>
  <c r="S244" i="4" s="1"/>
  <c r="T244" i="4" s="1"/>
  <c r="U244" i="4" s="1"/>
  <c r="V244" i="4" s="1"/>
  <c r="W244" i="4" s="1"/>
  <c r="X244" i="4" s="1"/>
  <c r="Y244" i="4" s="1"/>
  <c r="Z244" i="4" s="1"/>
  <c r="AA244" i="4" s="1"/>
  <c r="AB244" i="4" s="1"/>
  <c r="AC244" i="4" s="1"/>
  <c r="AD244" i="4" s="1"/>
  <c r="AE244" i="4" s="1"/>
  <c r="AF244" i="4" s="1"/>
  <c r="AG244" i="4" s="1"/>
  <c r="AH244" i="4" s="1"/>
  <c r="AI244" i="4" s="1"/>
  <c r="AJ244" i="4" s="1"/>
  <c r="AK244" i="4" s="1"/>
  <c r="AL244" i="4" s="1"/>
  <c r="AM244" i="4" s="1"/>
  <c r="AN244" i="4" s="1"/>
  <c r="AO244" i="4" s="1"/>
  <c r="AP244" i="4" s="1"/>
  <c r="AQ244" i="4" s="1"/>
  <c r="AR244" i="4" s="1"/>
  <c r="AS244" i="4" s="1"/>
  <c r="AT244" i="4" s="1"/>
  <c r="AU244" i="4" s="1"/>
  <c r="AV244" i="4" s="1"/>
  <c r="AW244" i="4" s="1"/>
  <c r="AX244" i="4" s="1"/>
  <c r="E243" i="4"/>
  <c r="F243" i="4" s="1"/>
  <c r="G243" i="4" s="1"/>
  <c r="H243" i="4" s="1"/>
  <c r="I243" i="4" s="1"/>
  <c r="J243" i="4" s="1"/>
  <c r="K243" i="4" s="1"/>
  <c r="L243" i="4" s="1"/>
  <c r="M243" i="4" s="1"/>
  <c r="N243" i="4" s="1"/>
  <c r="O243" i="4" s="1"/>
  <c r="P243" i="4" s="1"/>
  <c r="Q243" i="4" s="1"/>
  <c r="R243" i="4" s="1"/>
  <c r="S243" i="4" s="1"/>
  <c r="T243" i="4" s="1"/>
  <c r="U243" i="4" s="1"/>
  <c r="V243" i="4" s="1"/>
  <c r="W243" i="4" s="1"/>
  <c r="X243" i="4" s="1"/>
  <c r="Y243" i="4" s="1"/>
  <c r="Z243" i="4" s="1"/>
  <c r="AA243" i="4" s="1"/>
  <c r="AB243" i="4" s="1"/>
  <c r="AC243" i="4" s="1"/>
  <c r="AD243" i="4" s="1"/>
  <c r="AE243" i="4" s="1"/>
  <c r="AF243" i="4" s="1"/>
  <c r="AG243" i="4" s="1"/>
  <c r="AH243" i="4" s="1"/>
  <c r="AI243" i="4" s="1"/>
  <c r="AJ243" i="4" s="1"/>
  <c r="AK243" i="4" s="1"/>
  <c r="AL243" i="4" s="1"/>
  <c r="AM243" i="4" s="1"/>
  <c r="AN243" i="4" s="1"/>
  <c r="AO243" i="4" s="1"/>
  <c r="AP243" i="4" s="1"/>
  <c r="AQ243" i="4" s="1"/>
  <c r="AR243" i="4" s="1"/>
  <c r="AS243" i="4" s="1"/>
  <c r="AT243" i="4" s="1"/>
  <c r="AU243" i="4" s="1"/>
  <c r="AV243" i="4" s="1"/>
  <c r="AW243" i="4" s="1"/>
  <c r="AX243" i="4" s="1"/>
  <c r="E249" i="4"/>
  <c r="F249" i="4" s="1"/>
  <c r="G249" i="4" s="1"/>
  <c r="H249" i="4" s="1"/>
  <c r="I249" i="4" s="1"/>
  <c r="J249" i="4" s="1"/>
  <c r="K249" i="4" s="1"/>
  <c r="L249" i="4" s="1"/>
  <c r="M249" i="4" s="1"/>
  <c r="N249" i="4" s="1"/>
  <c r="O249" i="4" s="1"/>
  <c r="P249" i="4" s="1"/>
  <c r="Q249" i="4" s="1"/>
  <c r="R249" i="4" s="1"/>
  <c r="S249" i="4" s="1"/>
  <c r="T249" i="4" s="1"/>
  <c r="U249" i="4" s="1"/>
  <c r="V249" i="4" s="1"/>
  <c r="W249" i="4" s="1"/>
  <c r="X249" i="4" s="1"/>
  <c r="Y249" i="4" s="1"/>
  <c r="Z249" i="4" s="1"/>
  <c r="AA249" i="4" s="1"/>
  <c r="AB249" i="4" s="1"/>
  <c r="AC249" i="4" s="1"/>
  <c r="AD249" i="4" s="1"/>
  <c r="AE249" i="4" s="1"/>
  <c r="AF249" i="4" s="1"/>
  <c r="AG249" i="4" s="1"/>
  <c r="AH249" i="4" s="1"/>
  <c r="AI249" i="4" s="1"/>
  <c r="AJ249" i="4" s="1"/>
  <c r="AK249" i="4" s="1"/>
  <c r="AL249" i="4" s="1"/>
  <c r="AM249" i="4" s="1"/>
  <c r="AN249" i="4" s="1"/>
  <c r="AO249" i="4" s="1"/>
  <c r="AP249" i="4" s="1"/>
  <c r="AQ249" i="4" s="1"/>
  <c r="AR249" i="4" s="1"/>
  <c r="AS249" i="4" s="1"/>
  <c r="AT249" i="4" s="1"/>
  <c r="AU249" i="4" s="1"/>
  <c r="AV249" i="4" s="1"/>
  <c r="AW249" i="4" s="1"/>
  <c r="AX249" i="4" s="1"/>
  <c r="O225" i="4"/>
  <c r="P225" i="4" s="1"/>
  <c r="Q225" i="4" s="1"/>
  <c r="R225" i="4" s="1"/>
  <c r="S225" i="4" s="1"/>
  <c r="C226" i="4"/>
  <c r="D226" i="4" s="1"/>
  <c r="E226" i="4" s="1"/>
  <c r="C225" i="4"/>
  <c r="C227" i="4"/>
  <c r="D227" i="4" s="1"/>
  <c r="E227" i="4" s="1"/>
  <c r="F227" i="4" s="1"/>
  <c r="G227" i="4" s="1"/>
  <c r="H227" i="4" s="1"/>
  <c r="I227" i="4" s="1"/>
  <c r="J227" i="4" s="1"/>
  <c r="K227" i="4" s="1"/>
  <c r="L227" i="4" s="1"/>
  <c r="M227" i="4" s="1"/>
  <c r="D263" i="4" l="1"/>
  <c r="D266" i="4" s="1"/>
  <c r="G254" i="4"/>
  <c r="Q46" i="18"/>
  <c r="Q52" i="18"/>
  <c r="Q53" i="18" s="1"/>
  <c r="Q54" i="18" s="1"/>
  <c r="Q55" i="18" s="1"/>
  <c r="P49" i="18"/>
  <c r="Q52" i="17"/>
  <c r="Q53" i="17" s="1"/>
  <c r="Q54" i="17" s="1"/>
  <c r="Q55" i="17" s="1"/>
  <c r="D71" i="8"/>
  <c r="N48" i="16"/>
  <c r="F226" i="4"/>
  <c r="AH52" i="24"/>
  <c r="P58" i="19"/>
  <c r="P59" i="19" s="1"/>
  <c r="Q303" i="4" s="1"/>
  <c r="P46" i="19"/>
  <c r="P47" i="19"/>
  <c r="O54" i="19"/>
  <c r="O51" i="19"/>
  <c r="O55" i="19" s="1"/>
  <c r="AI53" i="24"/>
  <c r="AI54" i="24"/>
  <c r="AI51" i="24"/>
  <c r="AJ47" i="24"/>
  <c r="AI50" i="24"/>
  <c r="O60" i="19"/>
  <c r="P50" i="19"/>
  <c r="P45" i="19"/>
  <c r="P48" i="19"/>
  <c r="P52" i="19" s="1"/>
  <c r="Q43" i="19"/>
  <c r="P49" i="19"/>
  <c r="Q45" i="18"/>
  <c r="Q43" i="18"/>
  <c r="Q44" i="18"/>
  <c r="Q47" i="18"/>
  <c r="R41" i="18"/>
  <c r="P48" i="17"/>
  <c r="P49" i="17"/>
  <c r="R43" i="17"/>
  <c r="R46" i="17" s="1"/>
  <c r="Q45" i="17"/>
  <c r="G248" i="4"/>
  <c r="R40" i="7"/>
  <c r="R41" i="7" s="1"/>
  <c r="N43" i="16"/>
  <c r="P40" i="16"/>
  <c r="O42" i="16"/>
  <c r="O46" i="16" s="1"/>
  <c r="O47" i="16" s="1"/>
  <c r="P261" i="4"/>
  <c r="S261" i="4"/>
  <c r="O261" i="4"/>
  <c r="R261" i="4"/>
  <c r="D225" i="4"/>
  <c r="E263" i="4" s="1"/>
  <c r="T225" i="4"/>
  <c r="T261" i="4"/>
  <c r="D262" i="4"/>
  <c r="Q261" i="4"/>
  <c r="D261" i="4"/>
  <c r="Z242" i="4"/>
  <c r="H254" i="4" l="1"/>
  <c r="R52" i="17"/>
  <c r="R53" i="17" s="1"/>
  <c r="R54" i="17" s="1"/>
  <c r="R55" i="17" s="1"/>
  <c r="Q49" i="18"/>
  <c r="R52" i="18"/>
  <c r="R53" i="18" s="1"/>
  <c r="R54" i="18" s="1"/>
  <c r="R55" i="18" s="1"/>
  <c r="R46" i="18"/>
  <c r="O48" i="16"/>
  <c r="E262" i="4"/>
  <c r="E266" i="4"/>
  <c r="G226" i="4"/>
  <c r="AI52" i="24"/>
  <c r="O61" i="19"/>
  <c r="O62" i="19" s="1"/>
  <c r="Q58" i="19"/>
  <c r="Q59" i="19" s="1"/>
  <c r="R303" i="4" s="1"/>
  <c r="Q47" i="19"/>
  <c r="Q46" i="19"/>
  <c r="P54" i="19"/>
  <c r="P51" i="19"/>
  <c r="P55" i="19" s="1"/>
  <c r="AJ53" i="24"/>
  <c r="AJ54" i="24"/>
  <c r="AJ51" i="24"/>
  <c r="AK47" i="24"/>
  <c r="AJ50" i="24"/>
  <c r="Q60" i="22"/>
  <c r="Q56" i="23"/>
  <c r="P60" i="22"/>
  <c r="P56" i="23"/>
  <c r="M60" i="22"/>
  <c r="M56" i="23"/>
  <c r="N56" i="21"/>
  <c r="N60" i="22"/>
  <c r="N56" i="23"/>
  <c r="R56" i="21"/>
  <c r="R60" i="22"/>
  <c r="R56" i="23"/>
  <c r="O60" i="22"/>
  <c r="O56" i="23"/>
  <c r="P60" i="19"/>
  <c r="P61" i="19" s="1"/>
  <c r="M61" i="19"/>
  <c r="M56" i="21"/>
  <c r="Q56" i="18"/>
  <c r="Q56" i="21"/>
  <c r="O56" i="18"/>
  <c r="O56" i="21"/>
  <c r="P56" i="18"/>
  <c r="P57" i="18" s="1"/>
  <c r="P56" i="21"/>
  <c r="N56" i="18"/>
  <c r="N61" i="19"/>
  <c r="Q50" i="19"/>
  <c r="R43" i="19"/>
  <c r="Q45" i="19"/>
  <c r="Q48" i="19"/>
  <c r="Q52" i="19" s="1"/>
  <c r="Q49" i="19"/>
  <c r="M56" i="17"/>
  <c r="M56" i="18"/>
  <c r="R45" i="18"/>
  <c r="R44" i="18"/>
  <c r="R43" i="18"/>
  <c r="R47" i="18"/>
  <c r="S41" i="18"/>
  <c r="H248" i="4"/>
  <c r="Q48" i="17"/>
  <c r="Q49" i="17"/>
  <c r="N56" i="17"/>
  <c r="S43" i="17"/>
  <c r="S46" i="17" s="1"/>
  <c r="R45" i="17"/>
  <c r="N49" i="16"/>
  <c r="N50" i="16" s="1"/>
  <c r="M49" i="16"/>
  <c r="M50" i="16" s="1"/>
  <c r="S40" i="7"/>
  <c r="S41" i="7" s="1"/>
  <c r="O43" i="16"/>
  <c r="Q40" i="16"/>
  <c r="P42" i="16"/>
  <c r="P46" i="16" s="1"/>
  <c r="P47" i="16" s="1"/>
  <c r="E225" i="4"/>
  <c r="F263" i="4" s="1"/>
  <c r="AA242" i="4"/>
  <c r="U225" i="4"/>
  <c r="U261" i="4"/>
  <c r="E261" i="4"/>
  <c r="I254" i="4" l="1"/>
  <c r="S52" i="17"/>
  <c r="S53" i="17" s="1"/>
  <c r="S54" i="17" s="1"/>
  <c r="S55" i="17" s="1"/>
  <c r="R56" i="18"/>
  <c r="R57" i="18" s="1"/>
  <c r="S52" i="18"/>
  <c r="S53" i="18" s="1"/>
  <c r="S54" i="18" s="1"/>
  <c r="S55" i="18" s="1"/>
  <c r="S46" i="18"/>
  <c r="R49" i="18"/>
  <c r="P48" i="16"/>
  <c r="H226" i="4"/>
  <c r="O57" i="18"/>
  <c r="Q57" i="18"/>
  <c r="R57" i="21"/>
  <c r="N57" i="18"/>
  <c r="M62" i="19"/>
  <c r="N57" i="21"/>
  <c r="P62" i="19"/>
  <c r="Q54" i="19"/>
  <c r="Q51" i="19"/>
  <c r="Q55" i="19" s="1"/>
  <c r="R46" i="19"/>
  <c r="R58" i="19"/>
  <c r="R59" i="19" s="1"/>
  <c r="S303" i="4" s="1"/>
  <c r="R47" i="19"/>
  <c r="AJ52" i="24"/>
  <c r="AK53" i="24"/>
  <c r="AK54" i="24"/>
  <c r="AL47" i="24"/>
  <c r="AK50" i="24"/>
  <c r="AK51" i="24"/>
  <c r="Q57" i="23"/>
  <c r="R57" i="23"/>
  <c r="Q61" i="22"/>
  <c r="P57" i="23"/>
  <c r="R61" i="22"/>
  <c r="P61" i="22"/>
  <c r="N61" i="22"/>
  <c r="M57" i="23"/>
  <c r="O57" i="23"/>
  <c r="M61" i="22"/>
  <c r="O61" i="22"/>
  <c r="S56" i="21"/>
  <c r="S56" i="23"/>
  <c r="S60" i="22"/>
  <c r="D63" i="22"/>
  <c r="D59" i="23"/>
  <c r="N57" i="23"/>
  <c r="Q60" i="19"/>
  <c r="Q61" i="19" s="1"/>
  <c r="Q57" i="21"/>
  <c r="D64" i="19"/>
  <c r="D59" i="21"/>
  <c r="P57" i="21"/>
  <c r="M57" i="21"/>
  <c r="O57" i="21"/>
  <c r="N62" i="19"/>
  <c r="R50" i="19"/>
  <c r="R45" i="19"/>
  <c r="R48" i="19"/>
  <c r="R52" i="19" s="1"/>
  <c r="S43" i="19"/>
  <c r="R49" i="19"/>
  <c r="N57" i="17"/>
  <c r="D59" i="17"/>
  <c r="D59" i="18"/>
  <c r="M57" i="18"/>
  <c r="M57" i="17"/>
  <c r="S47" i="18"/>
  <c r="S43" i="18"/>
  <c r="S45" i="18"/>
  <c r="S44" i="18"/>
  <c r="T41" i="18"/>
  <c r="I248" i="4"/>
  <c r="R48" i="17"/>
  <c r="R49" i="17"/>
  <c r="T43" i="17"/>
  <c r="T46" i="17" s="1"/>
  <c r="S45" i="17"/>
  <c r="O56" i="17"/>
  <c r="O49" i="16"/>
  <c r="O50" i="16" s="1"/>
  <c r="D52" i="16"/>
  <c r="T40" i="7"/>
  <c r="T41" i="7" s="1"/>
  <c r="P43" i="16"/>
  <c r="R40" i="16"/>
  <c r="Q42" i="16"/>
  <c r="Q46" i="16" s="1"/>
  <c r="Q47" i="16" s="1"/>
  <c r="V225" i="4"/>
  <c r="V261" i="4"/>
  <c r="AB242" i="4"/>
  <c r="F225" i="4"/>
  <c r="G263" i="4" s="1"/>
  <c r="F262" i="4"/>
  <c r="F261" i="4"/>
  <c r="T52" i="17" l="1"/>
  <c r="T53" i="17" s="1"/>
  <c r="T54" i="17" s="1"/>
  <c r="T55" i="17" s="1"/>
  <c r="J254" i="4"/>
  <c r="S56" i="18"/>
  <c r="S57" i="18" s="1"/>
  <c r="S49" i="18"/>
  <c r="T52" i="18"/>
  <c r="T53" i="18" s="1"/>
  <c r="T54" i="18" s="1"/>
  <c r="T55" i="18" s="1"/>
  <c r="T46" i="18"/>
  <c r="Q48" i="16"/>
  <c r="I226" i="4"/>
  <c r="Q62" i="19"/>
  <c r="S58" i="19"/>
  <c r="S59" i="19" s="1"/>
  <c r="T303" i="4" s="1"/>
  <c r="S47" i="19"/>
  <c r="S46" i="19"/>
  <c r="R54" i="19"/>
  <c r="R51" i="19"/>
  <c r="R55" i="19" s="1"/>
  <c r="AL53" i="24"/>
  <c r="AL54" i="24"/>
  <c r="AK52" i="24"/>
  <c r="AM47" i="24"/>
  <c r="AL50" i="24"/>
  <c r="AL51" i="24"/>
  <c r="D56" i="23"/>
  <c r="D60" i="22"/>
  <c r="D61" i="22" s="1"/>
  <c r="S61" i="22"/>
  <c r="S57" i="23"/>
  <c r="T56" i="21"/>
  <c r="T56" i="23"/>
  <c r="T60" i="22"/>
  <c r="E63" i="22"/>
  <c r="E59" i="23"/>
  <c r="D58" i="23"/>
  <c r="D62" i="22"/>
  <c r="S57" i="21"/>
  <c r="R60" i="19"/>
  <c r="D63" i="19"/>
  <c r="D58" i="21"/>
  <c r="D61" i="19"/>
  <c r="D56" i="21"/>
  <c r="E64" i="19"/>
  <c r="E59" i="21"/>
  <c r="S50" i="19"/>
  <c r="S45" i="19"/>
  <c r="S48" i="19"/>
  <c r="S52" i="19" s="1"/>
  <c r="S49" i="19"/>
  <c r="T43" i="19"/>
  <c r="O57" i="17"/>
  <c r="D56" i="17"/>
  <c r="D56" i="18"/>
  <c r="D58" i="17"/>
  <c r="D58" i="18"/>
  <c r="E59" i="17"/>
  <c r="E59" i="18"/>
  <c r="T47" i="18"/>
  <c r="T44" i="18"/>
  <c r="T45" i="18"/>
  <c r="T43" i="18"/>
  <c r="U41" i="18"/>
  <c r="J248" i="4"/>
  <c r="S48" i="17"/>
  <c r="S49" i="17"/>
  <c r="P56" i="17"/>
  <c r="U43" i="17"/>
  <c r="U46" i="17" s="1"/>
  <c r="U52" i="17" s="1"/>
  <c r="U53" i="17" s="1"/>
  <c r="U54" i="17" s="1"/>
  <c r="U55" i="17" s="1"/>
  <c r="T45" i="17"/>
  <c r="D51" i="16"/>
  <c r="D49" i="16"/>
  <c r="D50" i="16" s="1"/>
  <c r="E52" i="16"/>
  <c r="U40" i="7"/>
  <c r="U41" i="7" s="1"/>
  <c r="Q43" i="16"/>
  <c r="P49" i="16"/>
  <c r="P50" i="16" s="1"/>
  <c r="S40" i="16"/>
  <c r="R42" i="16"/>
  <c r="R46" i="16" s="1"/>
  <c r="R47" i="16" s="1"/>
  <c r="G225" i="4"/>
  <c r="H263" i="4" s="1"/>
  <c r="G261" i="4"/>
  <c r="G262" i="4"/>
  <c r="AC242" i="4"/>
  <c r="W225" i="4"/>
  <c r="W261" i="4"/>
  <c r="K254" i="4" l="1"/>
  <c r="T49" i="18"/>
  <c r="T56" i="18"/>
  <c r="T57" i="18" s="1"/>
  <c r="U52" i="18"/>
  <c r="U53" i="18" s="1"/>
  <c r="U54" i="18" s="1"/>
  <c r="U55" i="18" s="1"/>
  <c r="U46" i="18"/>
  <c r="R48" i="16"/>
  <c r="R49" i="16" s="1"/>
  <c r="R50" i="16" s="1"/>
  <c r="F52" i="16"/>
  <c r="J226" i="4"/>
  <c r="D46" i="21"/>
  <c r="D47" i="21" s="1"/>
  <c r="D50" i="17"/>
  <c r="D51" i="17" s="1"/>
  <c r="D50" i="18"/>
  <c r="D51" i="18" s="1"/>
  <c r="T57" i="21"/>
  <c r="D62" i="19"/>
  <c r="D56" i="19"/>
  <c r="D57" i="19" s="1"/>
  <c r="D49" i="23"/>
  <c r="D50" i="23" s="1"/>
  <c r="D44" i="16"/>
  <c r="D45" i="16" s="1"/>
  <c r="T47" i="19"/>
  <c r="T58" i="19"/>
  <c r="T59" i="19" s="1"/>
  <c r="U303" i="4" s="1"/>
  <c r="T46" i="19"/>
  <c r="S54" i="19"/>
  <c r="S51" i="19"/>
  <c r="S55" i="19" s="1"/>
  <c r="AM54" i="24"/>
  <c r="AM53" i="24"/>
  <c r="AN47" i="24"/>
  <c r="AM50" i="24"/>
  <c r="AM51" i="24"/>
  <c r="AL52" i="24"/>
  <c r="E62" i="22"/>
  <c r="E58" i="23"/>
  <c r="T61" i="22"/>
  <c r="T57" i="23"/>
  <c r="E60" i="22"/>
  <c r="E56" i="23"/>
  <c r="F63" i="22"/>
  <c r="F59" i="23"/>
  <c r="U56" i="21"/>
  <c r="U56" i="23"/>
  <c r="U60" i="22"/>
  <c r="D57" i="23"/>
  <c r="R61" i="19"/>
  <c r="S60" i="19"/>
  <c r="D57" i="21"/>
  <c r="E63" i="19"/>
  <c r="E58" i="21"/>
  <c r="E61" i="19"/>
  <c r="E56" i="21"/>
  <c r="F64" i="19"/>
  <c r="F59" i="21"/>
  <c r="T50" i="19"/>
  <c r="T45" i="19"/>
  <c r="T49" i="19"/>
  <c r="T48" i="19"/>
  <c r="T52" i="19" s="1"/>
  <c r="U43" i="19"/>
  <c r="P57" i="17"/>
  <c r="D57" i="18"/>
  <c r="D57" i="17"/>
  <c r="E58" i="17"/>
  <c r="E58" i="18"/>
  <c r="E56" i="17"/>
  <c r="E56" i="18"/>
  <c r="F59" i="17"/>
  <c r="F59" i="18"/>
  <c r="U47" i="18"/>
  <c r="U45" i="18"/>
  <c r="U44" i="18"/>
  <c r="U43" i="18"/>
  <c r="V41" i="18"/>
  <c r="K248" i="4"/>
  <c r="T48" i="17"/>
  <c r="T49" i="17"/>
  <c r="V43" i="17"/>
  <c r="V46" i="17" s="1"/>
  <c r="V52" i="17" s="1"/>
  <c r="V53" i="17" s="1"/>
  <c r="V54" i="17" s="1"/>
  <c r="V55" i="17" s="1"/>
  <c r="U45" i="17"/>
  <c r="Q56" i="17"/>
  <c r="E51" i="16"/>
  <c r="Q49" i="16"/>
  <c r="Q50" i="16" s="1"/>
  <c r="E49" i="16"/>
  <c r="E50" i="16" s="1"/>
  <c r="V40" i="7"/>
  <c r="V41" i="7" s="1"/>
  <c r="R43" i="16"/>
  <c r="S42" i="16"/>
  <c r="S46" i="16" s="1"/>
  <c r="S47" i="16" s="1"/>
  <c r="T40" i="16"/>
  <c r="AD242" i="4"/>
  <c r="X225" i="4"/>
  <c r="X261" i="4"/>
  <c r="H225" i="4"/>
  <c r="I263" i="4" s="1"/>
  <c r="H262" i="4"/>
  <c r="H261" i="4"/>
  <c r="L254" i="4" l="1"/>
  <c r="M254" i="4" s="1"/>
  <c r="N254" i="4" s="1"/>
  <c r="O254" i="4" s="1"/>
  <c r="U56" i="18"/>
  <c r="U57" i="18" s="1"/>
  <c r="U49" i="18"/>
  <c r="V52" i="18"/>
  <c r="V53" i="18" s="1"/>
  <c r="V54" i="18" s="1"/>
  <c r="V55" i="18" s="1"/>
  <c r="V46" i="18"/>
  <c r="S48" i="16"/>
  <c r="K226" i="4"/>
  <c r="E49" i="23"/>
  <c r="E50" i="23" s="1"/>
  <c r="E50" i="22"/>
  <c r="E51" i="22" s="1"/>
  <c r="E50" i="18"/>
  <c r="E51" i="18" s="1"/>
  <c r="E46" i="21"/>
  <c r="E47" i="21" s="1"/>
  <c r="U57" i="21"/>
  <c r="E62" i="19"/>
  <c r="E56" i="19"/>
  <c r="E57" i="19" s="1"/>
  <c r="R62" i="19"/>
  <c r="E44" i="16"/>
  <c r="E45" i="16" s="1"/>
  <c r="E50" i="17"/>
  <c r="E51" i="17" s="1"/>
  <c r="T54" i="19"/>
  <c r="T51" i="19"/>
  <c r="T55" i="19" s="1"/>
  <c r="U46" i="19"/>
  <c r="U58" i="19"/>
  <c r="U59" i="19" s="1"/>
  <c r="V303" i="4" s="1"/>
  <c r="U47" i="19"/>
  <c r="AN53" i="24"/>
  <c r="AN54" i="24"/>
  <c r="AM52" i="24"/>
  <c r="AN50" i="24"/>
  <c r="AN51" i="24"/>
  <c r="AO47" i="24"/>
  <c r="U61" i="22"/>
  <c r="E61" i="22"/>
  <c r="F62" i="22"/>
  <c r="F58" i="23"/>
  <c r="V56" i="21"/>
  <c r="V56" i="23"/>
  <c r="V60" i="22"/>
  <c r="F60" i="22"/>
  <c r="F56" i="23"/>
  <c r="U57" i="23"/>
  <c r="E57" i="23"/>
  <c r="G63" i="22"/>
  <c r="G59" i="23"/>
  <c r="S61" i="19"/>
  <c r="T60" i="19"/>
  <c r="F63" i="19"/>
  <c r="F58" i="21"/>
  <c r="E57" i="21"/>
  <c r="G64" i="19"/>
  <c r="G59" i="21"/>
  <c r="F61" i="19"/>
  <c r="F56" i="21"/>
  <c r="U50" i="19"/>
  <c r="U45" i="19"/>
  <c r="U48" i="19"/>
  <c r="U52" i="19" s="1"/>
  <c r="U49" i="19"/>
  <c r="V43" i="19"/>
  <c r="E57" i="17"/>
  <c r="E57" i="18"/>
  <c r="F56" i="17"/>
  <c r="F56" i="18"/>
  <c r="F58" i="17"/>
  <c r="F58" i="18"/>
  <c r="G59" i="17"/>
  <c r="G59" i="18"/>
  <c r="Q57" i="17"/>
  <c r="V44" i="18"/>
  <c r="V47" i="18"/>
  <c r="V45" i="18"/>
  <c r="V43" i="18"/>
  <c r="W41" i="18"/>
  <c r="L248" i="4"/>
  <c r="U48" i="17"/>
  <c r="U49" i="17"/>
  <c r="W43" i="17"/>
  <c r="W46" i="17" s="1"/>
  <c r="W52" i="17" s="1"/>
  <c r="W53" i="17" s="1"/>
  <c r="W54" i="17" s="1"/>
  <c r="W55" i="17" s="1"/>
  <c r="V45" i="17"/>
  <c r="R56" i="17"/>
  <c r="G52" i="16"/>
  <c r="F49" i="16"/>
  <c r="F50" i="16" s="1"/>
  <c r="F51" i="16"/>
  <c r="W40" i="7"/>
  <c r="W41" i="7" s="1"/>
  <c r="S43" i="16"/>
  <c r="T42" i="16"/>
  <c r="T46" i="16" s="1"/>
  <c r="T47" i="16" s="1"/>
  <c r="U40" i="16"/>
  <c r="I225" i="4"/>
  <c r="J263" i="4" s="1"/>
  <c r="I261" i="4"/>
  <c r="I262" i="4"/>
  <c r="Y225" i="4"/>
  <c r="Y261" i="4"/>
  <c r="AE242" i="4"/>
  <c r="AD261" i="4"/>
  <c r="P254" i="4" l="1"/>
  <c r="O263" i="4"/>
  <c r="V56" i="18"/>
  <c r="V57" i="18" s="1"/>
  <c r="W52" i="18"/>
  <c r="W53" i="18" s="1"/>
  <c r="W54" i="18" s="1"/>
  <c r="W55" i="18" s="1"/>
  <c r="W46" i="18"/>
  <c r="V49" i="18"/>
  <c r="T48" i="16"/>
  <c r="L226" i="4"/>
  <c r="F46" i="21"/>
  <c r="F47" i="21" s="1"/>
  <c r="F44" i="16"/>
  <c r="F45" i="16" s="1"/>
  <c r="V57" i="21"/>
  <c r="F56" i="19"/>
  <c r="F57" i="19" s="1"/>
  <c r="F50" i="17"/>
  <c r="F51" i="17" s="1"/>
  <c r="S62" i="19"/>
  <c r="F50" i="18"/>
  <c r="F51" i="18" s="1"/>
  <c r="F49" i="23"/>
  <c r="F50" i="23" s="1"/>
  <c r="F50" i="22"/>
  <c r="F51" i="22" s="1"/>
  <c r="V46" i="19"/>
  <c r="V47" i="19"/>
  <c r="V58" i="19"/>
  <c r="V59" i="19" s="1"/>
  <c r="W303" i="4" s="1"/>
  <c r="U54" i="19"/>
  <c r="U51" i="19"/>
  <c r="U55" i="19" s="1"/>
  <c r="AO54" i="24"/>
  <c r="AO53" i="24"/>
  <c r="AO50" i="24"/>
  <c r="AO51" i="24"/>
  <c r="AP47" i="24"/>
  <c r="AN52" i="24"/>
  <c r="F57" i="23"/>
  <c r="F61" i="22"/>
  <c r="G62" i="22"/>
  <c r="G58" i="23"/>
  <c r="V61" i="22"/>
  <c r="V57" i="23"/>
  <c r="H63" i="22"/>
  <c r="F27" i="22" s="1"/>
  <c r="H59" i="23"/>
  <c r="F22" i="23" s="1"/>
  <c r="G60" i="22"/>
  <c r="G56" i="23"/>
  <c r="W56" i="21"/>
  <c r="W60" i="22"/>
  <c r="W56" i="23"/>
  <c r="AB56" i="21"/>
  <c r="AB56" i="23"/>
  <c r="AB60" i="22"/>
  <c r="T61" i="19"/>
  <c r="F62" i="19"/>
  <c r="U60" i="19"/>
  <c r="F57" i="21"/>
  <c r="G63" i="19"/>
  <c r="G58" i="21"/>
  <c r="G61" i="19"/>
  <c r="G56" i="21"/>
  <c r="H64" i="19"/>
  <c r="F28" i="19" s="1"/>
  <c r="H59" i="21"/>
  <c r="F23" i="21" s="1"/>
  <c r="V50" i="19"/>
  <c r="V48" i="19"/>
  <c r="V52" i="19" s="1"/>
  <c r="V49" i="19"/>
  <c r="V45" i="19"/>
  <c r="W43" i="19"/>
  <c r="G56" i="17"/>
  <c r="G56" i="18"/>
  <c r="F57" i="17"/>
  <c r="G58" i="17"/>
  <c r="G58" i="18"/>
  <c r="F57" i="18"/>
  <c r="H59" i="17"/>
  <c r="F28" i="17" s="1"/>
  <c r="H59" i="18"/>
  <c r="F26" i="18" s="1"/>
  <c r="R57" i="17"/>
  <c r="W44" i="18"/>
  <c r="W47" i="18"/>
  <c r="W45" i="18"/>
  <c r="W43" i="18"/>
  <c r="X41" i="18"/>
  <c r="M248" i="4"/>
  <c r="V48" i="17"/>
  <c r="V49" i="17"/>
  <c r="S56" i="17"/>
  <c r="X43" i="17"/>
  <c r="X46" i="17" s="1"/>
  <c r="X52" i="17" s="1"/>
  <c r="X53" i="17" s="1"/>
  <c r="X54" i="17" s="1"/>
  <c r="X55" i="17" s="1"/>
  <c r="W45" i="17"/>
  <c r="G51" i="16"/>
  <c r="H52" i="16"/>
  <c r="F25" i="16" s="1"/>
  <c r="G49" i="16"/>
  <c r="G50" i="16" s="1"/>
  <c r="X40" i="7"/>
  <c r="X41" i="7" s="1"/>
  <c r="S49" i="16"/>
  <c r="S50" i="16" s="1"/>
  <c r="T43" i="16"/>
  <c r="U42" i="16"/>
  <c r="U46" i="16" s="1"/>
  <c r="U47" i="16" s="1"/>
  <c r="V40" i="16"/>
  <c r="AF242" i="4"/>
  <c r="AE261" i="4"/>
  <c r="Z225" i="4"/>
  <c r="Z261" i="4"/>
  <c r="J225" i="4"/>
  <c r="K263" i="4" s="1"/>
  <c r="J261" i="4"/>
  <c r="J262" i="4"/>
  <c r="T20" i="34"/>
  <c r="T23" i="34"/>
  <c r="T16" i="34"/>
  <c r="T19" i="34"/>
  <c r="T18" i="34"/>
  <c r="T24" i="34"/>
  <c r="Q254" i="4" l="1"/>
  <c r="P263" i="4"/>
  <c r="N59" i="23"/>
  <c r="N59" i="18"/>
  <c r="N59" i="21"/>
  <c r="N52" i="16"/>
  <c r="N63" i="22"/>
  <c r="N59" i="17"/>
  <c r="N64" i="19"/>
  <c r="W56" i="18"/>
  <c r="W57" i="18" s="1"/>
  <c r="X52" i="18"/>
  <c r="X53" i="18" s="1"/>
  <c r="X54" i="18" s="1"/>
  <c r="X55" i="18" s="1"/>
  <c r="X46" i="18"/>
  <c r="W49" i="18"/>
  <c r="U48" i="16"/>
  <c r="M226" i="4"/>
  <c r="G50" i="18"/>
  <c r="G51" i="18" s="1"/>
  <c r="G46" i="21"/>
  <c r="G47" i="21" s="1"/>
  <c r="W57" i="21"/>
  <c r="AB57" i="21"/>
  <c r="G49" i="23"/>
  <c r="G50" i="23" s="1"/>
  <c r="G50" i="22"/>
  <c r="G51" i="22" s="1"/>
  <c r="G50" i="17"/>
  <c r="G51" i="17" s="1"/>
  <c r="G44" i="16"/>
  <c r="G45" i="16" s="1"/>
  <c r="G56" i="19"/>
  <c r="G57" i="19" s="1"/>
  <c r="W47" i="19"/>
  <c r="W58" i="19"/>
  <c r="W59" i="19" s="1"/>
  <c r="X303" i="4" s="1"/>
  <c r="W46" i="19"/>
  <c r="V54" i="19"/>
  <c r="V51" i="19"/>
  <c r="V55" i="19" s="1"/>
  <c r="AP53" i="24"/>
  <c r="AP54" i="24"/>
  <c r="AO52" i="24"/>
  <c r="AP50" i="24"/>
  <c r="AP51" i="24"/>
  <c r="AQ47" i="24"/>
  <c r="X56" i="21"/>
  <c r="X56" i="23"/>
  <c r="X60" i="22"/>
  <c r="AB61" i="22"/>
  <c r="W57" i="23"/>
  <c r="I63" i="22"/>
  <c r="I59" i="23"/>
  <c r="G61" i="22"/>
  <c r="AB57" i="23"/>
  <c r="H62" i="22"/>
  <c r="H58" i="23"/>
  <c r="AC56" i="21"/>
  <c r="AC60" i="22"/>
  <c r="AC56" i="23"/>
  <c r="W61" i="22"/>
  <c r="H60" i="22"/>
  <c r="H56" i="23"/>
  <c r="G57" i="23"/>
  <c r="U61" i="19"/>
  <c r="T62" i="19"/>
  <c r="V60" i="19"/>
  <c r="V61" i="19" s="1"/>
  <c r="G57" i="21"/>
  <c r="G62" i="19"/>
  <c r="I64" i="19"/>
  <c r="I59" i="21"/>
  <c r="H63" i="19"/>
  <c r="H58" i="21"/>
  <c r="H61" i="19"/>
  <c r="H56" i="21"/>
  <c r="W50" i="19"/>
  <c r="W48" i="19"/>
  <c r="W52" i="19" s="1"/>
  <c r="X43" i="19"/>
  <c r="W49" i="19"/>
  <c r="W45" i="19"/>
  <c r="H58" i="17"/>
  <c r="H58" i="18"/>
  <c r="H56" i="17"/>
  <c r="H56" i="18"/>
  <c r="G57" i="18"/>
  <c r="I59" i="17"/>
  <c r="I59" i="18"/>
  <c r="S57" i="17"/>
  <c r="G57" i="17"/>
  <c r="X44" i="18"/>
  <c r="X47" i="18"/>
  <c r="X45" i="18"/>
  <c r="X43" i="18"/>
  <c r="Y41" i="18"/>
  <c r="N248" i="4"/>
  <c r="W48" i="17"/>
  <c r="W49" i="17"/>
  <c r="X45" i="17"/>
  <c r="Y43" i="17"/>
  <c r="Y46" i="17" s="1"/>
  <c r="Y52" i="17" s="1"/>
  <c r="Y53" i="17" s="1"/>
  <c r="Y54" i="17" s="1"/>
  <c r="Y55" i="17" s="1"/>
  <c r="T56" i="17"/>
  <c r="I52" i="16"/>
  <c r="H51" i="16"/>
  <c r="H49" i="16"/>
  <c r="H50" i="16" s="1"/>
  <c r="Y40" i="7"/>
  <c r="Y41" i="7" s="1"/>
  <c r="U43" i="16"/>
  <c r="T49" i="16"/>
  <c r="T50" i="16" s="1"/>
  <c r="V42" i="16"/>
  <c r="V46" i="16" s="1"/>
  <c r="V47" i="16" s="1"/>
  <c r="W40" i="16"/>
  <c r="K225" i="4"/>
  <c r="L263" i="4" s="1"/>
  <c r="K59" i="23" s="1"/>
  <c r="K262" i="4"/>
  <c r="K261" i="4"/>
  <c r="AA225" i="4"/>
  <c r="AA261" i="4"/>
  <c r="AG242" i="4"/>
  <c r="AF261" i="4"/>
  <c r="R254" i="4" l="1"/>
  <c r="Q263" i="4"/>
  <c r="O63" i="22"/>
  <c r="O59" i="23"/>
  <c r="O64" i="19"/>
  <c r="O59" i="21"/>
  <c r="O59" i="18"/>
  <c r="O52" i="16"/>
  <c r="O59" i="17"/>
  <c r="U49" i="16"/>
  <c r="U50" i="16" s="1"/>
  <c r="X49" i="18"/>
  <c r="X56" i="18"/>
  <c r="X57" i="18" s="1"/>
  <c r="Y52" i="18"/>
  <c r="Y53" i="18" s="1"/>
  <c r="Y54" i="18" s="1"/>
  <c r="Y55" i="18" s="1"/>
  <c r="Y46" i="18"/>
  <c r="V48" i="16"/>
  <c r="V49" i="16" s="1"/>
  <c r="V50" i="16" s="1"/>
  <c r="H46" i="21"/>
  <c r="H47" i="21" s="1"/>
  <c r="H44" i="16"/>
  <c r="H45" i="16" s="1"/>
  <c r="H49" i="23"/>
  <c r="H50" i="23" s="1"/>
  <c r="H50" i="22"/>
  <c r="H51" i="22" s="1"/>
  <c r="H56" i="19"/>
  <c r="H57" i="19" s="1"/>
  <c r="H50" i="18"/>
  <c r="H51" i="18" s="1"/>
  <c r="H50" i="17"/>
  <c r="H51" i="17" s="1"/>
  <c r="X57" i="21"/>
  <c r="W54" i="19"/>
  <c r="W51" i="19"/>
  <c r="W55" i="19" s="1"/>
  <c r="X46" i="19"/>
  <c r="X47" i="19"/>
  <c r="X58" i="19"/>
  <c r="X59" i="19" s="1"/>
  <c r="Y303" i="4" s="1"/>
  <c r="AQ54" i="24"/>
  <c r="AQ53" i="24"/>
  <c r="AC57" i="21"/>
  <c r="AP52" i="24"/>
  <c r="AQ50" i="24"/>
  <c r="AQ51" i="24"/>
  <c r="AR47" i="24"/>
  <c r="H61" i="22"/>
  <c r="AC57" i="23"/>
  <c r="AD56" i="21"/>
  <c r="AD60" i="22"/>
  <c r="AD56" i="23"/>
  <c r="I56" i="23"/>
  <c r="I60" i="22"/>
  <c r="X61" i="22"/>
  <c r="AC61" i="22"/>
  <c r="Y56" i="21"/>
  <c r="Y60" i="22"/>
  <c r="Y56" i="23"/>
  <c r="I62" i="22"/>
  <c r="I58" i="23"/>
  <c r="H62" i="19"/>
  <c r="X57" i="23"/>
  <c r="H57" i="23"/>
  <c r="J63" i="22"/>
  <c r="J59" i="23"/>
  <c r="U62" i="19"/>
  <c r="W60" i="19"/>
  <c r="W61" i="19" s="1"/>
  <c r="I61" i="19"/>
  <c r="I56" i="21"/>
  <c r="H57" i="21"/>
  <c r="I63" i="19"/>
  <c r="I58" i="21"/>
  <c r="J64" i="19"/>
  <c r="J59" i="21"/>
  <c r="V62" i="19"/>
  <c r="X50" i="19"/>
  <c r="X48" i="19"/>
  <c r="X52" i="19" s="1"/>
  <c r="Y43" i="19"/>
  <c r="X49" i="19"/>
  <c r="X45" i="19"/>
  <c r="H57" i="18"/>
  <c r="H57" i="17"/>
  <c r="I58" i="17"/>
  <c r="I58" i="18"/>
  <c r="I56" i="17"/>
  <c r="I56" i="18"/>
  <c r="J59" i="17"/>
  <c r="J59" i="18"/>
  <c r="T57" i="17"/>
  <c r="Y44" i="18"/>
  <c r="Y45" i="18"/>
  <c r="Y43" i="18"/>
  <c r="Y47" i="18"/>
  <c r="Z41" i="18"/>
  <c r="O248" i="4"/>
  <c r="X48" i="17"/>
  <c r="X49" i="17"/>
  <c r="U56" i="17"/>
  <c r="Y45" i="17"/>
  <c r="Z43" i="17"/>
  <c r="Z46" i="17" s="1"/>
  <c r="Z52" i="17" s="1"/>
  <c r="Z53" i="17" s="1"/>
  <c r="Z54" i="17" s="1"/>
  <c r="Z55" i="17" s="1"/>
  <c r="I51" i="16"/>
  <c r="J52" i="16"/>
  <c r="I49" i="16"/>
  <c r="I50" i="16" s="1"/>
  <c r="Z40" i="7"/>
  <c r="Z41" i="7" s="1"/>
  <c r="V43" i="16"/>
  <c r="W42" i="16"/>
  <c r="W46" i="16" s="1"/>
  <c r="W47" i="16" s="1"/>
  <c r="X40" i="16"/>
  <c r="AH242" i="4"/>
  <c r="AG261" i="4"/>
  <c r="AB225" i="4"/>
  <c r="AB261" i="4"/>
  <c r="L225" i="4"/>
  <c r="M263" i="4" s="1"/>
  <c r="L261" i="4"/>
  <c r="L262" i="4"/>
  <c r="S254" i="4" l="1"/>
  <c r="R263" i="4"/>
  <c r="P59" i="23"/>
  <c r="P59" i="18"/>
  <c r="P64" i="19"/>
  <c r="P59" i="21"/>
  <c r="P63" i="22"/>
  <c r="P52" i="16"/>
  <c r="P59" i="17"/>
  <c r="Y56" i="18"/>
  <c r="Y57" i="18" s="1"/>
  <c r="Y49" i="18"/>
  <c r="Z46" i="18"/>
  <c r="Z52" i="18"/>
  <c r="Z53" i="18" s="1"/>
  <c r="Z54" i="18" s="1"/>
  <c r="Z55" i="18" s="1"/>
  <c r="W48" i="16"/>
  <c r="I49" i="23"/>
  <c r="I50" i="23" s="1"/>
  <c r="I50" i="22"/>
  <c r="I51" i="22" s="1"/>
  <c r="I50" i="18"/>
  <c r="I51" i="18" s="1"/>
  <c r="I50" i="17"/>
  <c r="I51" i="17" s="1"/>
  <c r="AD57" i="21"/>
  <c r="I46" i="21"/>
  <c r="I47" i="21" s="1"/>
  <c r="Y57" i="21"/>
  <c r="I44" i="16"/>
  <c r="I45" i="16" s="1"/>
  <c r="I56" i="19"/>
  <c r="I57" i="19" s="1"/>
  <c r="W62" i="19"/>
  <c r="Y46" i="19"/>
  <c r="Y47" i="19"/>
  <c r="Y58" i="19"/>
  <c r="Y59" i="19" s="1"/>
  <c r="Z303" i="4" s="1"/>
  <c r="X54" i="19"/>
  <c r="X51" i="19"/>
  <c r="X55" i="19" s="1"/>
  <c r="AR54" i="24"/>
  <c r="AR53" i="24"/>
  <c r="AQ52" i="24"/>
  <c r="AR50" i="24"/>
  <c r="AR51" i="24"/>
  <c r="AS47" i="24"/>
  <c r="J62" i="22"/>
  <c r="J58" i="23"/>
  <c r="AD57" i="23"/>
  <c r="AD61" i="22"/>
  <c r="Z56" i="21"/>
  <c r="Z60" i="22"/>
  <c r="Z56" i="23"/>
  <c r="Y61" i="22"/>
  <c r="AE56" i="21"/>
  <c r="AE56" i="23"/>
  <c r="AE60" i="22"/>
  <c r="Y57" i="23"/>
  <c r="J60" i="22"/>
  <c r="J56" i="23"/>
  <c r="K63" i="22"/>
  <c r="I61" i="22"/>
  <c r="I57" i="23"/>
  <c r="X60" i="19"/>
  <c r="I57" i="21"/>
  <c r="K64" i="19"/>
  <c r="K59" i="21"/>
  <c r="I62" i="19"/>
  <c r="J63" i="19"/>
  <c r="J58" i="21"/>
  <c r="J61" i="19"/>
  <c r="J56" i="21"/>
  <c r="Y50" i="19"/>
  <c r="Y49" i="19"/>
  <c r="Z43" i="19"/>
  <c r="Y45" i="19"/>
  <c r="Y48" i="19"/>
  <c r="Y52" i="19" s="1"/>
  <c r="J58" i="17"/>
  <c r="J58" i="18"/>
  <c r="I57" i="17"/>
  <c r="J56" i="17"/>
  <c r="J56" i="18"/>
  <c r="U57" i="17"/>
  <c r="K59" i="17"/>
  <c r="K59" i="18"/>
  <c r="I57" i="18"/>
  <c r="Z45" i="18"/>
  <c r="Z44" i="18"/>
  <c r="Z43" i="18"/>
  <c r="Z47" i="18"/>
  <c r="AA41" i="18"/>
  <c r="P248" i="4"/>
  <c r="O262" i="4"/>
  <c r="Y48" i="17"/>
  <c r="Y49" i="17"/>
  <c r="Z45" i="17"/>
  <c r="AA43" i="17"/>
  <c r="AA46" i="17" s="1"/>
  <c r="AA52" i="17" s="1"/>
  <c r="AA53" i="17" s="1"/>
  <c r="AA54" i="17" s="1"/>
  <c r="AA55" i="17" s="1"/>
  <c r="V56" i="17"/>
  <c r="J49" i="16"/>
  <c r="J50" i="16" s="1"/>
  <c r="K52" i="16"/>
  <c r="J51" i="16"/>
  <c r="AA40" i="7"/>
  <c r="AA41" i="7" s="1"/>
  <c r="W43" i="16"/>
  <c r="X42" i="16"/>
  <c r="X46" i="16" s="1"/>
  <c r="X47" i="16" s="1"/>
  <c r="Y40" i="16"/>
  <c r="M225" i="4"/>
  <c r="N263" i="4" s="1"/>
  <c r="M261" i="4"/>
  <c r="M262" i="4"/>
  <c r="AC261" i="4"/>
  <c r="AI242" i="4"/>
  <c r="AH261" i="4"/>
  <c r="T254" i="4" l="1"/>
  <c r="S263" i="4"/>
  <c r="Q59" i="18"/>
  <c r="Q63" i="22"/>
  <c r="Q59" i="23"/>
  <c r="Q59" i="21"/>
  <c r="Q64" i="19"/>
  <c r="Q52" i="16"/>
  <c r="Q59" i="17"/>
  <c r="W49" i="16"/>
  <c r="W50" i="16" s="1"/>
  <c r="Z56" i="18"/>
  <c r="Z57" i="18" s="1"/>
  <c r="AA52" i="18"/>
  <c r="AA53" i="18" s="1"/>
  <c r="AA54" i="18" s="1"/>
  <c r="AA55" i="18" s="1"/>
  <c r="AA46" i="18"/>
  <c r="Z49" i="18"/>
  <c r="X48" i="16"/>
  <c r="J50" i="22"/>
  <c r="J51" i="22" s="1"/>
  <c r="J50" i="17"/>
  <c r="J51" i="17" s="1"/>
  <c r="AE57" i="21"/>
  <c r="J44" i="16"/>
  <c r="J45" i="16" s="1"/>
  <c r="J46" i="21"/>
  <c r="J47" i="21" s="1"/>
  <c r="J50" i="18"/>
  <c r="J51" i="18" s="1"/>
  <c r="J62" i="19"/>
  <c r="J56" i="19"/>
  <c r="J57" i="19" s="1"/>
  <c r="J49" i="23"/>
  <c r="J50" i="23" s="1"/>
  <c r="Y54" i="19"/>
  <c r="Y51" i="19"/>
  <c r="Y55" i="19" s="1"/>
  <c r="Z46" i="19"/>
  <c r="Z58" i="19"/>
  <c r="Z59" i="19" s="1"/>
  <c r="AA303" i="4" s="1"/>
  <c r="Z47" i="19"/>
  <c r="X61" i="19"/>
  <c r="AS54" i="24"/>
  <c r="AS53" i="24"/>
  <c r="Z57" i="21"/>
  <c r="AS50" i="24"/>
  <c r="AS51" i="24"/>
  <c r="AT47" i="24"/>
  <c r="AR52" i="24"/>
  <c r="Z57" i="23"/>
  <c r="Z61" i="22"/>
  <c r="J57" i="23"/>
  <c r="AA56" i="21"/>
  <c r="AA60" i="22"/>
  <c r="AA56" i="23"/>
  <c r="J61" i="22"/>
  <c r="K58" i="23"/>
  <c r="K62" i="22"/>
  <c r="L59" i="23"/>
  <c r="L63" i="22"/>
  <c r="AE61" i="22"/>
  <c r="AF56" i="21"/>
  <c r="AF56" i="23"/>
  <c r="AF60" i="22"/>
  <c r="K56" i="23"/>
  <c r="K60" i="22"/>
  <c r="M58" i="21"/>
  <c r="M46" i="21" s="1"/>
  <c r="M47" i="21" s="1"/>
  <c r="M62" i="22"/>
  <c r="M50" i="22" s="1"/>
  <c r="M51" i="22" s="1"/>
  <c r="M58" i="23"/>
  <c r="M49" i="23" s="1"/>
  <c r="M50" i="23" s="1"/>
  <c r="AE57" i="23"/>
  <c r="Y60" i="19"/>
  <c r="J57" i="21"/>
  <c r="K63" i="19"/>
  <c r="K58" i="21"/>
  <c r="K61" i="19"/>
  <c r="K56" i="21"/>
  <c r="L64" i="19"/>
  <c r="L59" i="21"/>
  <c r="M58" i="18"/>
  <c r="M50" i="18" s="1"/>
  <c r="M51" i="18" s="1"/>
  <c r="M63" i="19"/>
  <c r="M56" i="19" s="1"/>
  <c r="M57" i="19" s="1"/>
  <c r="Z50" i="19"/>
  <c r="Z49" i="19"/>
  <c r="AA43" i="19"/>
  <c r="Z45" i="19"/>
  <c r="Z48" i="19"/>
  <c r="Z52" i="19" s="1"/>
  <c r="J57" i="18"/>
  <c r="K56" i="17"/>
  <c r="K56" i="18"/>
  <c r="J57" i="17"/>
  <c r="K58" i="17"/>
  <c r="K58" i="18"/>
  <c r="L59" i="17"/>
  <c r="L59" i="18"/>
  <c r="V57" i="17"/>
  <c r="AA45" i="18"/>
  <c r="AA44" i="18"/>
  <c r="AA47" i="18"/>
  <c r="AA43" i="18"/>
  <c r="AB41" i="18"/>
  <c r="M58" i="17"/>
  <c r="M50" i="17" s="1"/>
  <c r="M51" i="17" s="1"/>
  <c r="M51" i="16"/>
  <c r="M44" i="16" s="1"/>
  <c r="M45" i="16" s="1"/>
  <c r="Q248" i="4"/>
  <c r="P262" i="4"/>
  <c r="Z48" i="17"/>
  <c r="Z49" i="17"/>
  <c r="W56" i="17"/>
  <c r="AA45" i="17"/>
  <c r="AB43" i="17"/>
  <c r="AB46" i="17" s="1"/>
  <c r="AB52" i="17" s="1"/>
  <c r="AB53" i="17" s="1"/>
  <c r="AB54" i="17" s="1"/>
  <c r="AB55" i="17" s="1"/>
  <c r="K51" i="16"/>
  <c r="L52" i="16"/>
  <c r="K49" i="16"/>
  <c r="K50" i="16" s="1"/>
  <c r="AB40" i="7"/>
  <c r="AB41" i="7" s="1"/>
  <c r="X43" i="16"/>
  <c r="Z40" i="16"/>
  <c r="Y42" i="16"/>
  <c r="Y46" i="16" s="1"/>
  <c r="Y47" i="16" s="1"/>
  <c r="AJ242" i="4"/>
  <c r="AI261" i="4"/>
  <c r="N262" i="4"/>
  <c r="N261" i="4"/>
  <c r="U254" i="4" l="1"/>
  <c r="T263" i="4"/>
  <c r="R59" i="21"/>
  <c r="F25" i="21" s="1"/>
  <c r="R64" i="19"/>
  <c r="F30" i="19" s="1"/>
  <c r="R52" i="16"/>
  <c r="F27" i="16" s="1"/>
  <c r="R59" i="17"/>
  <c r="F30" i="17" s="1"/>
  <c r="R59" i="18"/>
  <c r="F28" i="18" s="1"/>
  <c r="R59" i="23"/>
  <c r="F24" i="23" s="1"/>
  <c r="R63" i="22"/>
  <c r="F29" i="22" s="1"/>
  <c r="AA49" i="18"/>
  <c r="AA56" i="18"/>
  <c r="AA57" i="18" s="1"/>
  <c r="AB46" i="18"/>
  <c r="AB52" i="18"/>
  <c r="AB53" i="18" s="1"/>
  <c r="AB54" i="18" s="1"/>
  <c r="AB55" i="18" s="1"/>
  <c r="Y48" i="16"/>
  <c r="Y49" i="16" s="1"/>
  <c r="Y50" i="16" s="1"/>
  <c r="K50" i="22"/>
  <c r="K51" i="22" s="1"/>
  <c r="K49" i="23"/>
  <c r="K50" i="23" s="1"/>
  <c r="X62" i="19"/>
  <c r="K50" i="18"/>
  <c r="K51" i="18" s="1"/>
  <c r="K50" i="17"/>
  <c r="K51" i="17" s="1"/>
  <c r="K46" i="21"/>
  <c r="K47" i="21" s="1"/>
  <c r="K44" i="16"/>
  <c r="K45" i="16" s="1"/>
  <c r="K56" i="19"/>
  <c r="K57" i="19" s="1"/>
  <c r="AF57" i="21"/>
  <c r="AA57" i="21"/>
  <c r="Z54" i="19"/>
  <c r="Z51" i="19"/>
  <c r="Z55" i="19" s="1"/>
  <c r="AA46" i="19"/>
  <c r="AA47" i="19"/>
  <c r="AA58" i="19"/>
  <c r="AA59" i="19" s="1"/>
  <c r="AB303" i="4" s="1"/>
  <c r="AT54" i="24"/>
  <c r="AT53" i="24"/>
  <c r="AS52" i="24"/>
  <c r="AT50" i="24"/>
  <c r="AT51" i="24"/>
  <c r="AU47" i="24"/>
  <c r="K61" i="22"/>
  <c r="AA57" i="23"/>
  <c r="AA61" i="22"/>
  <c r="AF61" i="22"/>
  <c r="M63" i="22"/>
  <c r="M59" i="23"/>
  <c r="AF57" i="23"/>
  <c r="N58" i="21"/>
  <c r="N46" i="21" s="1"/>
  <c r="N47" i="21" s="1"/>
  <c r="N62" i="22"/>
  <c r="N50" i="22" s="1"/>
  <c r="N51" i="22" s="1"/>
  <c r="N58" i="23"/>
  <c r="N49" i="23" s="1"/>
  <c r="N50" i="23" s="1"/>
  <c r="L58" i="23"/>
  <c r="L62" i="22"/>
  <c r="L56" i="23"/>
  <c r="L60" i="22"/>
  <c r="K57" i="23"/>
  <c r="AG56" i="21"/>
  <c r="AG56" i="23"/>
  <c r="AG60" i="22"/>
  <c r="Y61" i="19"/>
  <c r="Z60" i="19"/>
  <c r="Z61" i="19" s="1"/>
  <c r="K62" i="19"/>
  <c r="L61" i="19"/>
  <c r="L56" i="21"/>
  <c r="K57" i="21"/>
  <c r="L63" i="19"/>
  <c r="L58" i="21"/>
  <c r="M64" i="19"/>
  <c r="F29" i="19" s="1"/>
  <c r="M59" i="21"/>
  <c r="F24" i="21" s="1"/>
  <c r="N58" i="18"/>
  <c r="N50" i="18" s="1"/>
  <c r="N51" i="18" s="1"/>
  <c r="N63" i="19"/>
  <c r="N56" i="19" s="1"/>
  <c r="N57" i="19" s="1"/>
  <c r="AA50" i="19"/>
  <c r="AA49" i="19"/>
  <c r="AA45" i="19"/>
  <c r="AB43" i="19"/>
  <c r="AA48" i="19"/>
  <c r="AA52" i="19" s="1"/>
  <c r="L58" i="17"/>
  <c r="L58" i="18"/>
  <c r="K57" i="18"/>
  <c r="L56" i="17"/>
  <c r="L56" i="18"/>
  <c r="M59" i="17"/>
  <c r="F29" i="17" s="1"/>
  <c r="M59" i="18"/>
  <c r="F27" i="18" s="1"/>
  <c r="W57" i="17"/>
  <c r="K57" i="17"/>
  <c r="AB43" i="18"/>
  <c r="AB44" i="18"/>
  <c r="AB45" i="18"/>
  <c r="AB47" i="18"/>
  <c r="AC41" i="18"/>
  <c r="R248" i="4"/>
  <c r="Q262" i="4"/>
  <c r="N51" i="16"/>
  <c r="N44" i="16" s="1"/>
  <c r="N45" i="16" s="1"/>
  <c r="N58" i="17"/>
  <c r="N50" i="17" s="1"/>
  <c r="N51" i="17" s="1"/>
  <c r="AA48" i="17"/>
  <c r="AA49" i="17"/>
  <c r="AB45" i="17"/>
  <c r="AC43" i="17"/>
  <c r="AC46" i="17" s="1"/>
  <c r="AC52" i="17" s="1"/>
  <c r="AC53" i="17" s="1"/>
  <c r="AC54" i="17" s="1"/>
  <c r="AC55" i="17" s="1"/>
  <c r="X56" i="17"/>
  <c r="M52" i="16"/>
  <c r="F26" i="16" s="1"/>
  <c r="L49" i="16"/>
  <c r="L50" i="16" s="1"/>
  <c r="L51" i="16"/>
  <c r="AC40" i="7"/>
  <c r="AC41" i="7" s="1"/>
  <c r="X49" i="16"/>
  <c r="X50" i="16" s="1"/>
  <c r="Y43" i="16"/>
  <c r="AA40" i="16"/>
  <c r="Z42" i="16"/>
  <c r="Z46" i="16" s="1"/>
  <c r="Z47" i="16" s="1"/>
  <c r="AK242" i="4"/>
  <c r="AJ261" i="4"/>
  <c r="V21" i="34"/>
  <c r="U18" i="34"/>
  <c r="U19" i="34"/>
  <c r="V23" i="34"/>
  <c r="V20" i="34"/>
  <c r="V19" i="34"/>
  <c r="V18" i="34"/>
  <c r="U16" i="34"/>
  <c r="V16" i="34"/>
  <c r="V24" i="34"/>
  <c r="V254" i="4" l="1"/>
  <c r="U263" i="4"/>
  <c r="S59" i="18"/>
  <c r="S59" i="23"/>
  <c r="S63" i="22"/>
  <c r="S59" i="21"/>
  <c r="S64" i="19"/>
  <c r="S59" i="17"/>
  <c r="S52" i="16"/>
  <c r="F23" i="23"/>
  <c r="F28" i="22"/>
  <c r="AB56" i="18"/>
  <c r="AB57" i="18" s="1"/>
  <c r="AC52" i="18"/>
  <c r="AC53" i="18" s="1"/>
  <c r="AC54" i="18" s="1"/>
  <c r="AC55" i="18" s="1"/>
  <c r="AC46" i="18"/>
  <c r="AB49" i="18"/>
  <c r="C26" i="18" s="1"/>
  <c r="Z48" i="16"/>
  <c r="L50" i="22"/>
  <c r="L51" i="22" s="1"/>
  <c r="L50" i="17"/>
  <c r="L51" i="17" s="1"/>
  <c r="L50" i="18"/>
  <c r="L51" i="18" s="1"/>
  <c r="L49" i="23"/>
  <c r="L50" i="23" s="1"/>
  <c r="Z62" i="19"/>
  <c r="L44" i="16"/>
  <c r="L45" i="16" s="1"/>
  <c r="L46" i="21"/>
  <c r="L47" i="21" s="1"/>
  <c r="L62" i="19"/>
  <c r="L56" i="19"/>
  <c r="L57" i="19" s="1"/>
  <c r="AA54" i="19"/>
  <c r="AA51" i="19"/>
  <c r="AA55" i="19" s="1"/>
  <c r="AB58" i="19"/>
  <c r="AB59" i="19" s="1"/>
  <c r="AC303" i="4" s="1"/>
  <c r="AB47" i="19"/>
  <c r="AB46" i="19"/>
  <c r="AU53" i="24"/>
  <c r="AU54" i="24"/>
  <c r="AU50" i="24"/>
  <c r="AU51" i="24"/>
  <c r="AV47" i="24"/>
  <c r="AT52" i="24"/>
  <c r="O58" i="21"/>
  <c r="O46" i="21" s="1"/>
  <c r="O47" i="21" s="1"/>
  <c r="O62" i="22"/>
  <c r="O50" i="22" s="1"/>
  <c r="O51" i="22" s="1"/>
  <c r="O58" i="23"/>
  <c r="O49" i="23" s="1"/>
  <c r="O50" i="23" s="1"/>
  <c r="AG61" i="22"/>
  <c r="Y62" i="19"/>
  <c r="AG57" i="21"/>
  <c r="AG57" i="23"/>
  <c r="L61" i="22"/>
  <c r="L57" i="23"/>
  <c r="AH56" i="21"/>
  <c r="AH60" i="22"/>
  <c r="AH56" i="23"/>
  <c r="AA60" i="19"/>
  <c r="L57" i="21"/>
  <c r="O58" i="18"/>
  <c r="O50" i="18" s="1"/>
  <c r="O51" i="18" s="1"/>
  <c r="O63" i="19"/>
  <c r="O56" i="19" s="1"/>
  <c r="O57" i="19" s="1"/>
  <c r="AB50" i="19"/>
  <c r="AB49" i="19"/>
  <c r="AB45" i="19"/>
  <c r="AC43" i="19"/>
  <c r="AB48" i="19"/>
  <c r="AB52" i="19" s="1"/>
  <c r="X57" i="17"/>
  <c r="L57" i="18"/>
  <c r="L57" i="17"/>
  <c r="AC45" i="18"/>
  <c r="AC47" i="18"/>
  <c r="AC44" i="18"/>
  <c r="AC43" i="18"/>
  <c r="AD41" i="18"/>
  <c r="O51" i="16"/>
  <c r="O44" i="16" s="1"/>
  <c r="O45" i="16" s="1"/>
  <c r="O58" i="17"/>
  <c r="O50" i="17" s="1"/>
  <c r="O51" i="17" s="1"/>
  <c r="S248" i="4"/>
  <c r="R262" i="4"/>
  <c r="AB48" i="17"/>
  <c r="C28" i="17" s="1"/>
  <c r="AB49" i="17"/>
  <c r="Y56" i="17"/>
  <c r="AC45" i="17"/>
  <c r="AD43" i="17"/>
  <c r="AD46" i="17" s="1"/>
  <c r="AD52" i="17" s="1"/>
  <c r="AD53" i="17" s="1"/>
  <c r="AD54" i="17" s="1"/>
  <c r="AD55" i="17" s="1"/>
  <c r="AD40" i="7"/>
  <c r="AD41" i="7" s="1"/>
  <c r="Z43" i="16"/>
  <c r="AB40" i="16"/>
  <c r="AA42" i="16"/>
  <c r="AA46" i="16" s="1"/>
  <c r="AA47" i="16" s="1"/>
  <c r="AL242" i="4"/>
  <c r="AK261" i="4"/>
  <c r="D18" i="34"/>
  <c r="U23" i="34"/>
  <c r="D19" i="34"/>
  <c r="W254" i="4" l="1"/>
  <c r="V263" i="4"/>
  <c r="T59" i="18"/>
  <c r="T59" i="21"/>
  <c r="T63" i="22"/>
  <c r="T59" i="23"/>
  <c r="T64" i="19"/>
  <c r="T52" i="16"/>
  <c r="T59" i="17"/>
  <c r="C27" i="18"/>
  <c r="AC49" i="18"/>
  <c r="AC56" i="18"/>
  <c r="AC57" i="18" s="1"/>
  <c r="AD52" i="18"/>
  <c r="AD53" i="18" s="1"/>
  <c r="AD54" i="18" s="1"/>
  <c r="AD55" i="18" s="1"/>
  <c r="AD46" i="18"/>
  <c r="AA48" i="16"/>
  <c r="C29" i="17"/>
  <c r="AH57" i="21"/>
  <c r="AC58" i="19"/>
  <c r="AC59" i="19" s="1"/>
  <c r="AD303" i="4" s="1"/>
  <c r="AC47" i="19"/>
  <c r="AC46" i="19"/>
  <c r="AB54" i="19"/>
  <c r="C28" i="19" s="1"/>
  <c r="AB51" i="19"/>
  <c r="AB55" i="19" s="1"/>
  <c r="C31" i="17"/>
  <c r="AV54" i="24"/>
  <c r="AV53" i="24"/>
  <c r="AV50" i="24"/>
  <c r="AV51" i="24"/>
  <c r="AU52" i="24"/>
  <c r="AI56" i="21"/>
  <c r="AI60" i="22"/>
  <c r="AI56" i="23"/>
  <c r="P58" i="21"/>
  <c r="P46" i="21" s="1"/>
  <c r="P47" i="21" s="1"/>
  <c r="P62" i="22"/>
  <c r="P50" i="22" s="1"/>
  <c r="P51" i="22" s="1"/>
  <c r="P58" i="23"/>
  <c r="P49" i="23" s="1"/>
  <c r="P50" i="23" s="1"/>
  <c r="AH57" i="23"/>
  <c r="AA61" i="19"/>
  <c r="AH61" i="22"/>
  <c r="AB60" i="19"/>
  <c r="P58" i="18"/>
  <c r="P50" i="18" s="1"/>
  <c r="P51" i="18" s="1"/>
  <c r="P63" i="19"/>
  <c r="P56" i="19" s="1"/>
  <c r="P57" i="19" s="1"/>
  <c r="AC50" i="19"/>
  <c r="AC49" i="19"/>
  <c r="AD43" i="19"/>
  <c r="AC45" i="19"/>
  <c r="AC48" i="19"/>
  <c r="AC52" i="19" s="1"/>
  <c r="Y57" i="17"/>
  <c r="AD43" i="18"/>
  <c r="AD45" i="18"/>
  <c r="AD44" i="18"/>
  <c r="AD47" i="18"/>
  <c r="C29" i="18"/>
  <c r="AE41" i="18"/>
  <c r="P51" i="16"/>
  <c r="P44" i="16" s="1"/>
  <c r="P45" i="16" s="1"/>
  <c r="P58" i="17"/>
  <c r="P50" i="17" s="1"/>
  <c r="P51" i="17" s="1"/>
  <c r="T248" i="4"/>
  <c r="S262" i="4"/>
  <c r="AC48" i="17"/>
  <c r="AC49" i="17"/>
  <c r="AE43" i="17"/>
  <c r="AE46" i="17" s="1"/>
  <c r="AE52" i="17" s="1"/>
  <c r="AE53" i="17" s="1"/>
  <c r="AE54" i="17" s="1"/>
  <c r="AE55" i="17" s="1"/>
  <c r="AD45" i="17"/>
  <c r="Z56" i="17"/>
  <c r="AE40" i="7"/>
  <c r="AE41" i="7" s="1"/>
  <c r="Z49" i="16"/>
  <c r="Z50" i="16" s="1"/>
  <c r="AA43" i="16"/>
  <c r="AC40" i="16"/>
  <c r="AB42" i="16"/>
  <c r="AB46" i="16" s="1"/>
  <c r="AB47" i="16" s="1"/>
  <c r="AM242" i="4"/>
  <c r="AL261" i="4"/>
  <c r="E18" i="34"/>
  <c r="E19" i="34"/>
  <c r="G19" i="34"/>
  <c r="G18" i="34"/>
  <c r="D20" i="34"/>
  <c r="X254" i="4" l="1"/>
  <c r="W263" i="4"/>
  <c r="U59" i="21"/>
  <c r="U64" i="19"/>
  <c r="U59" i="23"/>
  <c r="U63" i="22"/>
  <c r="U59" i="18"/>
  <c r="U52" i="16"/>
  <c r="U59" i="17"/>
  <c r="AA49" i="16"/>
  <c r="AA50" i="16" s="1"/>
  <c r="C29" i="19"/>
  <c r="AD56" i="18"/>
  <c r="AD57" i="18" s="1"/>
  <c r="AE46" i="18"/>
  <c r="AE52" i="18"/>
  <c r="AE53" i="18" s="1"/>
  <c r="AE54" i="18" s="1"/>
  <c r="AE55" i="18" s="1"/>
  <c r="AD49" i="18"/>
  <c r="AB48" i="16"/>
  <c r="AD58" i="19"/>
  <c r="AD59" i="19" s="1"/>
  <c r="AE303" i="4" s="1"/>
  <c r="AD47" i="19"/>
  <c r="AD46" i="19"/>
  <c r="AC54" i="19"/>
  <c r="AC51" i="19"/>
  <c r="AC55" i="19" s="1"/>
  <c r="AI57" i="21"/>
  <c r="AV52" i="24"/>
  <c r="Q58" i="21"/>
  <c r="Q46" i="21" s="1"/>
  <c r="Q47" i="21" s="1"/>
  <c r="Q62" i="22"/>
  <c r="Q50" i="22" s="1"/>
  <c r="Q51" i="22" s="1"/>
  <c r="Q58" i="23"/>
  <c r="Q49" i="23" s="1"/>
  <c r="Q50" i="23" s="1"/>
  <c r="AJ56" i="21"/>
  <c r="AJ56" i="23"/>
  <c r="AJ60" i="22"/>
  <c r="AA62" i="19"/>
  <c r="AI57" i="23"/>
  <c r="AI61" i="22"/>
  <c r="AB61" i="19"/>
  <c r="AC60" i="19"/>
  <c r="Q58" i="18"/>
  <c r="Q50" i="18" s="1"/>
  <c r="Q51" i="18" s="1"/>
  <c r="Q63" i="19"/>
  <c r="Q56" i="19" s="1"/>
  <c r="Q57" i="19" s="1"/>
  <c r="AD50" i="19"/>
  <c r="AD49" i="19"/>
  <c r="AE43" i="19"/>
  <c r="AD48" i="19"/>
  <c r="AD52" i="19" s="1"/>
  <c r="AD45" i="19"/>
  <c r="C31" i="19"/>
  <c r="Z57" i="17"/>
  <c r="AE43" i="18"/>
  <c r="AE45" i="18"/>
  <c r="AE44" i="18"/>
  <c r="AE47" i="18"/>
  <c r="AF41" i="18"/>
  <c r="Q58" i="17"/>
  <c r="Q50" i="17" s="1"/>
  <c r="Q51" i="17" s="1"/>
  <c r="Q51" i="16"/>
  <c r="Q44" i="16" s="1"/>
  <c r="Q45" i="16" s="1"/>
  <c r="U248" i="4"/>
  <c r="T262" i="4"/>
  <c r="AD48" i="17"/>
  <c r="AD49" i="17"/>
  <c r="AA56" i="17"/>
  <c r="AF43" i="17"/>
  <c r="AF46" i="17" s="1"/>
  <c r="AF52" i="17" s="1"/>
  <c r="AF53" i="17" s="1"/>
  <c r="AF54" i="17" s="1"/>
  <c r="AF55" i="17" s="1"/>
  <c r="AE45" i="17"/>
  <c r="AF40" i="7"/>
  <c r="AF41" i="7" s="1"/>
  <c r="AB43" i="16"/>
  <c r="AD40" i="16"/>
  <c r="AC42" i="16"/>
  <c r="AC46" i="16" s="1"/>
  <c r="AC47" i="16" s="1"/>
  <c r="AN242" i="4"/>
  <c r="AM261" i="4"/>
  <c r="E20" i="34"/>
  <c r="G20" i="34"/>
  <c r="Y254" i="4" l="1"/>
  <c r="X263" i="4"/>
  <c r="V59" i="18"/>
  <c r="V52" i="16"/>
  <c r="V59" i="23"/>
  <c r="V64" i="19"/>
  <c r="V59" i="17"/>
  <c r="V63" i="22"/>
  <c r="V59" i="21"/>
  <c r="AB49" i="16"/>
  <c r="AB50" i="16" s="1"/>
  <c r="AE56" i="18"/>
  <c r="AE57" i="18" s="1"/>
  <c r="AF46" i="18"/>
  <c r="AF52" i="18"/>
  <c r="AF53" i="18" s="1"/>
  <c r="AF54" i="18" s="1"/>
  <c r="AF55" i="18" s="1"/>
  <c r="AE49" i="18"/>
  <c r="AC48" i="16"/>
  <c r="AC49" i="16" s="1"/>
  <c r="AC50" i="16" s="1"/>
  <c r="AJ57" i="21"/>
  <c r="AB62" i="19"/>
  <c r="AD54" i="19"/>
  <c r="AD51" i="19"/>
  <c r="AD55" i="19" s="1"/>
  <c r="AE58" i="19"/>
  <c r="AE59" i="19" s="1"/>
  <c r="AF303" i="4" s="1"/>
  <c r="AE47" i="19"/>
  <c r="AE46" i="19"/>
  <c r="AK56" i="21"/>
  <c r="AK56" i="23"/>
  <c r="AK60" i="22"/>
  <c r="R58" i="21"/>
  <c r="R46" i="21" s="1"/>
  <c r="R47" i="21" s="1"/>
  <c r="R62" i="22"/>
  <c r="R50" i="22" s="1"/>
  <c r="R51" i="22" s="1"/>
  <c r="R58" i="23"/>
  <c r="R49" i="23" s="1"/>
  <c r="R50" i="23" s="1"/>
  <c r="AJ57" i="23"/>
  <c r="AJ61" i="22"/>
  <c r="AC61" i="19"/>
  <c r="AD60" i="19"/>
  <c r="R58" i="18"/>
  <c r="R50" i="18" s="1"/>
  <c r="R51" i="18" s="1"/>
  <c r="R63" i="19"/>
  <c r="R56" i="19" s="1"/>
  <c r="R57" i="19" s="1"/>
  <c r="AE50" i="19"/>
  <c r="AF43" i="19"/>
  <c r="AE45" i="19"/>
  <c r="AE48" i="19"/>
  <c r="AE52" i="19" s="1"/>
  <c r="AE49" i="19"/>
  <c r="AA57" i="17"/>
  <c r="AF43" i="18"/>
  <c r="AF45" i="18"/>
  <c r="AF44" i="18"/>
  <c r="AF47" i="18"/>
  <c r="AG41" i="18"/>
  <c r="R51" i="16"/>
  <c r="R44" i="16" s="1"/>
  <c r="R45" i="16" s="1"/>
  <c r="R58" i="17"/>
  <c r="R50" i="17" s="1"/>
  <c r="R51" i="17" s="1"/>
  <c r="V248" i="4"/>
  <c r="U262" i="4"/>
  <c r="AE48" i="17"/>
  <c r="AE49" i="17"/>
  <c r="AG43" i="17"/>
  <c r="AG46" i="17" s="1"/>
  <c r="AG52" i="17" s="1"/>
  <c r="AG53" i="17" s="1"/>
  <c r="AG54" i="17" s="1"/>
  <c r="AG55" i="17" s="1"/>
  <c r="AF45" i="17"/>
  <c r="AB56" i="17"/>
  <c r="AG40" i="7"/>
  <c r="AG41" i="7" s="1"/>
  <c r="C28" i="16"/>
  <c r="AC43" i="16"/>
  <c r="AE40" i="16"/>
  <c r="AD42" i="16"/>
  <c r="AD46" i="16" s="1"/>
  <c r="AD47" i="16" s="1"/>
  <c r="AO242" i="4"/>
  <c r="AN261" i="4"/>
  <c r="G16" i="34"/>
  <c r="Z254" i="4" l="1"/>
  <c r="Y263" i="4"/>
  <c r="W59" i="21"/>
  <c r="F26" i="21" s="1"/>
  <c r="W63" i="22"/>
  <c r="F30" i="22" s="1"/>
  <c r="W59" i="23"/>
  <c r="F25" i="23" s="1"/>
  <c r="W59" i="18"/>
  <c r="F29" i="18" s="1"/>
  <c r="W64" i="19"/>
  <c r="F31" i="19" s="1"/>
  <c r="W52" i="16"/>
  <c r="F28" i="16" s="1"/>
  <c r="W59" i="17"/>
  <c r="F31" i="17" s="1"/>
  <c r="AF56" i="18"/>
  <c r="AF57" i="18" s="1"/>
  <c r="AG46" i="18"/>
  <c r="AG52" i="18"/>
  <c r="AG53" i="18" s="1"/>
  <c r="AG54" i="18" s="1"/>
  <c r="AG55" i="18" s="1"/>
  <c r="AF49" i="18"/>
  <c r="AD48" i="16"/>
  <c r="AK57" i="21"/>
  <c r="AE54" i="19"/>
  <c r="AE51" i="19"/>
  <c r="AE55" i="19" s="1"/>
  <c r="AC62" i="19"/>
  <c r="AF46" i="19"/>
  <c r="AF58" i="19"/>
  <c r="AF59" i="19" s="1"/>
  <c r="AG303" i="4" s="1"/>
  <c r="AF47" i="19"/>
  <c r="AL56" i="21"/>
  <c r="AL60" i="22"/>
  <c r="AL56" i="23"/>
  <c r="S58" i="21"/>
  <c r="S46" i="21" s="1"/>
  <c r="S47" i="21" s="1"/>
  <c r="S62" i="22"/>
  <c r="S50" i="22" s="1"/>
  <c r="S51" i="22" s="1"/>
  <c r="S58" i="23"/>
  <c r="S49" i="23" s="1"/>
  <c r="S50" i="23" s="1"/>
  <c r="AK61" i="22"/>
  <c r="AK57" i="23"/>
  <c r="AD61" i="19"/>
  <c r="AE60" i="19"/>
  <c r="AE61" i="19" s="1"/>
  <c r="S58" i="18"/>
  <c r="S50" i="18" s="1"/>
  <c r="S51" i="18" s="1"/>
  <c r="S63" i="19"/>
  <c r="S56" i="19" s="1"/>
  <c r="S57" i="19" s="1"/>
  <c r="AF50" i="19"/>
  <c r="AF45" i="19"/>
  <c r="AF48" i="19"/>
  <c r="AF52" i="19" s="1"/>
  <c r="AF49" i="19"/>
  <c r="AG43" i="19"/>
  <c r="AB57" i="17"/>
  <c r="AG43" i="18"/>
  <c r="AG45" i="18"/>
  <c r="AG44" i="18"/>
  <c r="AG47" i="18"/>
  <c r="AH41" i="18"/>
  <c r="S58" i="17"/>
  <c r="S50" i="17" s="1"/>
  <c r="S51" i="17" s="1"/>
  <c r="S51" i="16"/>
  <c r="S44" i="16" s="1"/>
  <c r="S45" i="16" s="1"/>
  <c r="W248" i="4"/>
  <c r="V262" i="4"/>
  <c r="AF48" i="17"/>
  <c r="AF49" i="17"/>
  <c r="AC56" i="17"/>
  <c r="AH43" i="17"/>
  <c r="AH46" i="17" s="1"/>
  <c r="AH52" i="17" s="1"/>
  <c r="AH53" i="17" s="1"/>
  <c r="AH54" i="17" s="1"/>
  <c r="AH55" i="17" s="1"/>
  <c r="AG45" i="17"/>
  <c r="AH40" i="7"/>
  <c r="AH41" i="7" s="1"/>
  <c r="AD43" i="16"/>
  <c r="AF40" i="16"/>
  <c r="AE42" i="16"/>
  <c r="AE46" i="16" s="1"/>
  <c r="AE47" i="16" s="1"/>
  <c r="AP242" i="4"/>
  <c r="AO261" i="4"/>
  <c r="W16" i="34"/>
  <c r="W19" i="34"/>
  <c r="W18" i="34"/>
  <c r="W20" i="34"/>
  <c r="W23" i="34"/>
  <c r="W21" i="34"/>
  <c r="AA254" i="4" l="1"/>
  <c r="Z263" i="4"/>
  <c r="X59" i="21"/>
  <c r="X63" i="22"/>
  <c r="X59" i="23"/>
  <c r="X59" i="18"/>
  <c r="X64" i="19"/>
  <c r="X52" i="16"/>
  <c r="X59" i="17"/>
  <c r="AG56" i="18"/>
  <c r="AG57" i="18" s="1"/>
  <c r="AH52" i="18"/>
  <c r="AH53" i="18" s="1"/>
  <c r="AH54" i="18" s="1"/>
  <c r="AH55" i="18" s="1"/>
  <c r="AH46" i="18"/>
  <c r="AG49" i="18"/>
  <c r="AE48" i="16"/>
  <c r="AL57" i="21"/>
  <c r="AG58" i="19"/>
  <c r="AG59" i="19" s="1"/>
  <c r="AH303" i="4" s="1"/>
  <c r="AG47" i="19"/>
  <c r="AG46" i="19"/>
  <c r="AF54" i="19"/>
  <c r="AF51" i="19"/>
  <c r="AF55" i="19" s="1"/>
  <c r="AM56" i="21"/>
  <c r="AM60" i="22"/>
  <c r="AM56" i="23"/>
  <c r="T58" i="21"/>
  <c r="T46" i="21" s="1"/>
  <c r="T47" i="21" s="1"/>
  <c r="T58" i="23"/>
  <c r="T49" i="23" s="1"/>
  <c r="T50" i="23" s="1"/>
  <c r="T62" i="22"/>
  <c r="T50" i="22" s="1"/>
  <c r="T51" i="22" s="1"/>
  <c r="AL57" i="23"/>
  <c r="AL61" i="22"/>
  <c r="AD62" i="19"/>
  <c r="AF60" i="19"/>
  <c r="AE62" i="19"/>
  <c r="T58" i="18"/>
  <c r="T50" i="18" s="1"/>
  <c r="T51" i="18" s="1"/>
  <c r="T63" i="19"/>
  <c r="T56" i="19" s="1"/>
  <c r="T57" i="19" s="1"/>
  <c r="AG50" i="19"/>
  <c r="AH43" i="19"/>
  <c r="AG45" i="19"/>
  <c r="AG48" i="19"/>
  <c r="AG52" i="19" s="1"/>
  <c r="AG49" i="19"/>
  <c r="AC57" i="17"/>
  <c r="AH43" i="18"/>
  <c r="AH45" i="18"/>
  <c r="AH44" i="18"/>
  <c r="AH47" i="18"/>
  <c r="AI41" i="18"/>
  <c r="X248" i="4"/>
  <c r="W262" i="4"/>
  <c r="T58" i="17"/>
  <c r="T50" i="17" s="1"/>
  <c r="T51" i="17" s="1"/>
  <c r="T51" i="16"/>
  <c r="T44" i="16" s="1"/>
  <c r="T45" i="16" s="1"/>
  <c r="AG48" i="17"/>
  <c r="AG49" i="17"/>
  <c r="AI43" i="17"/>
  <c r="AI46" i="17" s="1"/>
  <c r="AI52" i="17" s="1"/>
  <c r="AI53" i="17" s="1"/>
  <c r="AI54" i="17" s="1"/>
  <c r="AI55" i="17" s="1"/>
  <c r="AH45" i="17"/>
  <c r="AD56" i="17"/>
  <c r="AI40" i="7"/>
  <c r="AI41" i="7" s="1"/>
  <c r="AD49" i="16"/>
  <c r="AD50" i="16" s="1"/>
  <c r="AE43" i="16"/>
  <c r="AG40" i="16"/>
  <c r="AF42" i="16"/>
  <c r="AF46" i="16" s="1"/>
  <c r="AF47" i="16" s="1"/>
  <c r="AQ242" i="4"/>
  <c r="AP261" i="4"/>
  <c r="AB254" i="4" l="1"/>
  <c r="AA263" i="4"/>
  <c r="Y59" i="21"/>
  <c r="Y59" i="23"/>
  <c r="Y59" i="18"/>
  <c r="Y64" i="19"/>
  <c r="Y63" i="22"/>
  <c r="Y59" i="17"/>
  <c r="Y52" i="16"/>
  <c r="AH56" i="18"/>
  <c r="AH57" i="18" s="1"/>
  <c r="AH49" i="18"/>
  <c r="AI52" i="18"/>
  <c r="AI53" i="18" s="1"/>
  <c r="AI54" i="18" s="1"/>
  <c r="AI55" i="18" s="1"/>
  <c r="AI46" i="18"/>
  <c r="AF48" i="16"/>
  <c r="AM57" i="21"/>
  <c r="AH58" i="19"/>
  <c r="AH59" i="19" s="1"/>
  <c r="AI303" i="4" s="1"/>
  <c r="AH47" i="19"/>
  <c r="AH46" i="19"/>
  <c r="AG54" i="19"/>
  <c r="AG51" i="19"/>
  <c r="AG55" i="19" s="1"/>
  <c r="AN56" i="21"/>
  <c r="AN60" i="22"/>
  <c r="AN56" i="23"/>
  <c r="U58" i="21"/>
  <c r="U46" i="21" s="1"/>
  <c r="U47" i="21" s="1"/>
  <c r="U62" i="22"/>
  <c r="U50" i="22" s="1"/>
  <c r="U51" i="22" s="1"/>
  <c r="U58" i="23"/>
  <c r="U49" i="23" s="1"/>
  <c r="U50" i="23" s="1"/>
  <c r="AM57" i="23"/>
  <c r="AM61" i="22"/>
  <c r="AF61" i="19"/>
  <c r="AG60" i="19"/>
  <c r="AG61" i="19" s="1"/>
  <c r="U58" i="18"/>
  <c r="U50" i="18" s="1"/>
  <c r="U51" i="18" s="1"/>
  <c r="U63" i="19"/>
  <c r="U56" i="19" s="1"/>
  <c r="U57" i="19" s="1"/>
  <c r="AH50" i="19"/>
  <c r="AH45" i="19"/>
  <c r="AH48" i="19"/>
  <c r="AH52" i="19" s="1"/>
  <c r="AI43" i="19"/>
  <c r="AH49" i="19"/>
  <c r="AD57" i="17"/>
  <c r="AI43" i="18"/>
  <c r="AI44" i="18"/>
  <c r="AI45" i="18"/>
  <c r="AI47" i="18"/>
  <c r="AJ41" i="18"/>
  <c r="U51" i="16"/>
  <c r="U44" i="16" s="1"/>
  <c r="U45" i="16" s="1"/>
  <c r="U58" i="17"/>
  <c r="U50" i="17" s="1"/>
  <c r="U51" i="17" s="1"/>
  <c r="Y248" i="4"/>
  <c r="X262" i="4"/>
  <c r="AH48" i="17"/>
  <c r="AH49" i="17"/>
  <c r="AE56" i="17"/>
  <c r="AJ43" i="17"/>
  <c r="AJ46" i="17" s="1"/>
  <c r="AJ52" i="17" s="1"/>
  <c r="AJ53" i="17" s="1"/>
  <c r="AJ54" i="17" s="1"/>
  <c r="AJ55" i="17" s="1"/>
  <c r="AI45" i="17"/>
  <c r="AJ40" i="7"/>
  <c r="AJ41" i="7" s="1"/>
  <c r="AE49" i="16"/>
  <c r="AE50" i="16" s="1"/>
  <c r="AF43" i="16"/>
  <c r="AH40" i="16"/>
  <c r="AG42" i="16"/>
  <c r="AG46" i="16" s="1"/>
  <c r="AG47" i="16" s="1"/>
  <c r="AR242" i="4"/>
  <c r="AQ261" i="4"/>
  <c r="AC254" i="4" l="1"/>
  <c r="AB263" i="4"/>
  <c r="Z59" i="23"/>
  <c r="Z59" i="21"/>
  <c r="Z63" i="22"/>
  <c r="Z64" i="19"/>
  <c r="Z59" i="18"/>
  <c r="Z52" i="16"/>
  <c r="Z59" i="17"/>
  <c r="AI56" i="18"/>
  <c r="AI57" i="18" s="1"/>
  <c r="AJ52" i="18"/>
  <c r="AJ53" i="18" s="1"/>
  <c r="AJ54" i="18" s="1"/>
  <c r="AJ55" i="18" s="1"/>
  <c r="AJ46" i="18"/>
  <c r="AI49" i="18"/>
  <c r="AG48" i="16"/>
  <c r="AN57" i="21"/>
  <c r="AF62" i="19"/>
  <c r="AI46" i="19"/>
  <c r="AI58" i="19"/>
  <c r="AI59" i="19" s="1"/>
  <c r="AJ303" i="4" s="1"/>
  <c r="AI47" i="19"/>
  <c r="AH54" i="19"/>
  <c r="AH51" i="19"/>
  <c r="AH55" i="19" s="1"/>
  <c r="AO56" i="21"/>
  <c r="AO56" i="23"/>
  <c r="AO60" i="22"/>
  <c r="AN57" i="23"/>
  <c r="V58" i="21"/>
  <c r="V46" i="21" s="1"/>
  <c r="V47" i="21" s="1"/>
  <c r="V58" i="23"/>
  <c r="V49" i="23" s="1"/>
  <c r="V50" i="23" s="1"/>
  <c r="V62" i="22"/>
  <c r="V50" i="22" s="1"/>
  <c r="V51" i="22" s="1"/>
  <c r="AN61" i="22"/>
  <c r="AH60" i="19"/>
  <c r="AH61" i="19" s="1"/>
  <c r="AG62" i="19"/>
  <c r="V58" i="18"/>
  <c r="V50" i="18" s="1"/>
  <c r="V51" i="18" s="1"/>
  <c r="V63" i="19"/>
  <c r="V56" i="19" s="1"/>
  <c r="V57" i="19" s="1"/>
  <c r="AI50" i="19"/>
  <c r="AI45" i="19"/>
  <c r="AI48" i="19"/>
  <c r="AI52" i="19" s="1"/>
  <c r="AJ43" i="19"/>
  <c r="AI49" i="19"/>
  <c r="AE57" i="17"/>
  <c r="AJ44" i="18"/>
  <c r="AJ43" i="18"/>
  <c r="AJ45" i="18"/>
  <c r="AJ47" i="18"/>
  <c r="AK41" i="18"/>
  <c r="V58" i="17"/>
  <c r="V50" i="17" s="1"/>
  <c r="V51" i="17" s="1"/>
  <c r="V51" i="16"/>
  <c r="V44" i="16" s="1"/>
  <c r="V45" i="16" s="1"/>
  <c r="Z248" i="4"/>
  <c r="Y262" i="4"/>
  <c r="AI48" i="17"/>
  <c r="AI49" i="17"/>
  <c r="AK43" i="17"/>
  <c r="AK46" i="17" s="1"/>
  <c r="AK52" i="17" s="1"/>
  <c r="AK53" i="17" s="1"/>
  <c r="AK54" i="17" s="1"/>
  <c r="AK55" i="17" s="1"/>
  <c r="AJ45" i="17"/>
  <c r="AF56" i="17"/>
  <c r="AK40" i="7"/>
  <c r="AK41" i="7" s="1"/>
  <c r="AF49" i="16"/>
  <c r="AF50" i="16" s="1"/>
  <c r="AG43" i="16"/>
  <c r="AI40" i="16"/>
  <c r="AH42" i="16"/>
  <c r="AH46" i="16" s="1"/>
  <c r="AH47" i="16" s="1"/>
  <c r="AS242" i="4"/>
  <c r="AR261" i="4"/>
  <c r="AD254" i="4" l="1"/>
  <c r="AC263" i="4"/>
  <c r="AA59" i="23"/>
  <c r="AA63" i="22"/>
  <c r="AA59" i="18"/>
  <c r="AA64" i="19"/>
  <c r="AA59" i="21"/>
  <c r="AA52" i="16"/>
  <c r="AA59" i="17"/>
  <c r="AJ56" i="18"/>
  <c r="AJ57" i="18" s="1"/>
  <c r="AK46" i="18"/>
  <c r="AK52" i="18"/>
  <c r="AK53" i="18" s="1"/>
  <c r="AK54" i="18" s="1"/>
  <c r="AK55" i="18" s="1"/>
  <c r="AJ49" i="18"/>
  <c r="AH48" i="16"/>
  <c r="AO57" i="21"/>
  <c r="AI54" i="19"/>
  <c r="AI51" i="19"/>
  <c r="AI55" i="19" s="1"/>
  <c r="AJ46" i="19"/>
  <c r="AJ47" i="19"/>
  <c r="AJ58" i="19"/>
  <c r="AJ59" i="19" s="1"/>
  <c r="AK303" i="4" s="1"/>
  <c r="AP56" i="21"/>
  <c r="AP60" i="22"/>
  <c r="AP56" i="23"/>
  <c r="W58" i="21"/>
  <c r="W46" i="21" s="1"/>
  <c r="W47" i="21" s="1"/>
  <c r="W62" i="22"/>
  <c r="W50" i="22" s="1"/>
  <c r="W51" i="22" s="1"/>
  <c r="W58" i="23"/>
  <c r="W49" i="23" s="1"/>
  <c r="W50" i="23" s="1"/>
  <c r="AO61" i="22"/>
  <c r="AO57" i="23"/>
  <c r="AI60" i="19"/>
  <c r="AI61" i="19" s="1"/>
  <c r="AH62" i="19"/>
  <c r="W58" i="18"/>
  <c r="W50" i="18" s="1"/>
  <c r="W51" i="18" s="1"/>
  <c r="W63" i="19"/>
  <c r="W56" i="19" s="1"/>
  <c r="W57" i="19" s="1"/>
  <c r="AJ50" i="19"/>
  <c r="AJ45" i="19"/>
  <c r="AJ49" i="19"/>
  <c r="AJ48" i="19"/>
  <c r="AJ52" i="19" s="1"/>
  <c r="AK43" i="19"/>
  <c r="AF57" i="17"/>
  <c r="AK43" i="18"/>
  <c r="AK45" i="18"/>
  <c r="AK44" i="18"/>
  <c r="AK47" i="18"/>
  <c r="AL41" i="18"/>
  <c r="AA248" i="4"/>
  <c r="Z262" i="4"/>
  <c r="W51" i="16"/>
  <c r="W44" i="16" s="1"/>
  <c r="W45" i="16" s="1"/>
  <c r="W58" i="17"/>
  <c r="W50" i="17" s="1"/>
  <c r="W51" i="17" s="1"/>
  <c r="AJ48" i="17"/>
  <c r="AJ49" i="17"/>
  <c r="AG56" i="17"/>
  <c r="AK45" i="17"/>
  <c r="AL43" i="17"/>
  <c r="AL46" i="17" s="1"/>
  <c r="AL52" i="17" s="1"/>
  <c r="AL53" i="17" s="1"/>
  <c r="AL54" i="17" s="1"/>
  <c r="AL55" i="17" s="1"/>
  <c r="AL40" i="7"/>
  <c r="AL41" i="7" s="1"/>
  <c r="AG49" i="16"/>
  <c r="AG50" i="16" s="1"/>
  <c r="AH43" i="16"/>
  <c r="AI42" i="16"/>
  <c r="AI46" i="16" s="1"/>
  <c r="AI47" i="16" s="1"/>
  <c r="AJ40" i="16"/>
  <c r="AT242" i="4"/>
  <c r="AS261" i="4"/>
  <c r="AE254" i="4" l="1"/>
  <c r="AD263" i="4"/>
  <c r="AB63" i="22"/>
  <c r="F31" i="22" s="1"/>
  <c r="AB59" i="21"/>
  <c r="F27" i="21" s="1"/>
  <c r="AB59" i="23"/>
  <c r="F26" i="23" s="1"/>
  <c r="AB59" i="18"/>
  <c r="F30" i="18" s="1"/>
  <c r="AB64" i="19"/>
  <c r="F32" i="19" s="1"/>
  <c r="AB59" i="17"/>
  <c r="F32" i="17" s="1"/>
  <c r="AB52" i="16"/>
  <c r="F29" i="16" s="1"/>
  <c r="AK56" i="18"/>
  <c r="AK57" i="18" s="1"/>
  <c r="AL52" i="18"/>
  <c r="AL53" i="18" s="1"/>
  <c r="AL54" i="18" s="1"/>
  <c r="AL55" i="18" s="1"/>
  <c r="AL46" i="18"/>
  <c r="AK49" i="18"/>
  <c r="AI48" i="16"/>
  <c r="AP57" i="21"/>
  <c r="AJ54" i="19"/>
  <c r="AJ51" i="19"/>
  <c r="AJ55" i="19" s="1"/>
  <c r="AK46" i="19"/>
  <c r="AK58" i="19"/>
  <c r="AK59" i="19" s="1"/>
  <c r="AL303" i="4" s="1"/>
  <c r="AK47" i="19"/>
  <c r="AQ56" i="21"/>
  <c r="AQ60" i="22"/>
  <c r="AQ56" i="23"/>
  <c r="AP57" i="23"/>
  <c r="X58" i="21"/>
  <c r="X46" i="21" s="1"/>
  <c r="X47" i="21" s="1"/>
  <c r="X58" i="23"/>
  <c r="X49" i="23" s="1"/>
  <c r="X50" i="23" s="1"/>
  <c r="X62" i="22"/>
  <c r="X50" i="22" s="1"/>
  <c r="X51" i="22" s="1"/>
  <c r="AP61" i="22"/>
  <c r="AJ60" i="19"/>
  <c r="AJ61" i="19" s="1"/>
  <c r="AI62" i="19"/>
  <c r="X58" i="18"/>
  <c r="X50" i="18" s="1"/>
  <c r="X51" i="18" s="1"/>
  <c r="X63" i="19"/>
  <c r="X56" i="19" s="1"/>
  <c r="X57" i="19" s="1"/>
  <c r="AK50" i="19"/>
  <c r="AK45" i="19"/>
  <c r="AK48" i="19"/>
  <c r="AK52" i="19" s="1"/>
  <c r="AK49" i="19"/>
  <c r="AL43" i="19"/>
  <c r="AG57" i="17"/>
  <c r="AL44" i="18"/>
  <c r="AL47" i="18"/>
  <c r="AL45" i="18"/>
  <c r="AL43" i="18"/>
  <c r="AM41" i="18"/>
  <c r="X51" i="16"/>
  <c r="X44" i="16" s="1"/>
  <c r="X45" i="16" s="1"/>
  <c r="X58" i="17"/>
  <c r="X50" i="17" s="1"/>
  <c r="X51" i="17" s="1"/>
  <c r="AB248" i="4"/>
  <c r="AA262" i="4"/>
  <c r="AK48" i="17"/>
  <c r="AK49" i="17"/>
  <c r="AM43" i="17"/>
  <c r="AM46" i="17" s="1"/>
  <c r="AM52" i="17" s="1"/>
  <c r="AM53" i="17" s="1"/>
  <c r="AM54" i="17" s="1"/>
  <c r="AM55" i="17" s="1"/>
  <c r="AL45" i="17"/>
  <c r="AH56" i="17"/>
  <c r="AM40" i="7"/>
  <c r="AM41" i="7" s="1"/>
  <c r="AH49" i="16"/>
  <c r="AH50" i="16" s="1"/>
  <c r="AI43" i="16"/>
  <c r="AJ42" i="16"/>
  <c r="AJ46" i="16" s="1"/>
  <c r="AJ47" i="16" s="1"/>
  <c r="AK40" i="16"/>
  <c r="AU242" i="4"/>
  <c r="AT261" i="4"/>
  <c r="X19" i="34"/>
  <c r="X21" i="34"/>
  <c r="X20" i="34"/>
  <c r="X24" i="34"/>
  <c r="X23" i="34"/>
  <c r="X16" i="34"/>
  <c r="X18" i="34"/>
  <c r="AF254" i="4" l="1"/>
  <c r="AE263" i="4"/>
  <c r="AC63" i="22"/>
  <c r="AC59" i="23"/>
  <c r="AC64" i="19"/>
  <c r="AC59" i="21"/>
  <c r="AC59" i="18"/>
  <c r="AC59" i="17"/>
  <c r="AC52" i="16"/>
  <c r="AL49" i="18"/>
  <c r="AL56" i="18"/>
  <c r="AL57" i="18" s="1"/>
  <c r="AM52" i="18"/>
  <c r="AM53" i="18" s="1"/>
  <c r="AM54" i="18" s="1"/>
  <c r="AM55" i="18" s="1"/>
  <c r="AM46" i="18"/>
  <c r="AJ48" i="16"/>
  <c r="AQ57" i="21"/>
  <c r="AL47" i="19"/>
  <c r="AL46" i="19"/>
  <c r="AL58" i="19"/>
  <c r="AL59" i="19" s="1"/>
  <c r="AM303" i="4" s="1"/>
  <c r="AK54" i="19"/>
  <c r="AK51" i="19"/>
  <c r="AK55" i="19" s="1"/>
  <c r="Y58" i="21"/>
  <c r="Y46" i="21" s="1"/>
  <c r="Y47" i="21" s="1"/>
  <c r="Y58" i="23"/>
  <c r="Y49" i="23" s="1"/>
  <c r="Y50" i="23" s="1"/>
  <c r="Y62" i="22"/>
  <c r="Y50" i="22" s="1"/>
  <c r="Y51" i="22" s="1"/>
  <c r="AR56" i="21"/>
  <c r="AR56" i="23"/>
  <c r="AR60" i="22"/>
  <c r="AQ57" i="23"/>
  <c r="AQ61" i="22"/>
  <c r="AK60" i="19"/>
  <c r="Y58" i="18"/>
  <c r="Y50" i="18" s="1"/>
  <c r="Y51" i="18" s="1"/>
  <c r="Y63" i="19"/>
  <c r="Y56" i="19" s="1"/>
  <c r="Y57" i="19" s="1"/>
  <c r="AJ62" i="19"/>
  <c r="AL50" i="19"/>
  <c r="AL48" i="19"/>
  <c r="AL52" i="19" s="1"/>
  <c r="AL49" i="19"/>
  <c r="AL45" i="19"/>
  <c r="AM43" i="19"/>
  <c r="AH57" i="17"/>
  <c r="AM44" i="18"/>
  <c r="AM45" i="18"/>
  <c r="AM47" i="18"/>
  <c r="AM43" i="18"/>
  <c r="AN41" i="18"/>
  <c r="AC248" i="4"/>
  <c r="AB262" i="4"/>
  <c r="Y58" i="17"/>
  <c r="Y50" i="17" s="1"/>
  <c r="Y51" i="17" s="1"/>
  <c r="Y51" i="16"/>
  <c r="Y44" i="16" s="1"/>
  <c r="Y45" i="16" s="1"/>
  <c r="AL48" i="17"/>
  <c r="AL49" i="17"/>
  <c r="AI56" i="17"/>
  <c r="AN43" i="17"/>
  <c r="AN46" i="17" s="1"/>
  <c r="AN52" i="17" s="1"/>
  <c r="AN53" i="17" s="1"/>
  <c r="AN54" i="17" s="1"/>
  <c r="AN55" i="17" s="1"/>
  <c r="AM45" i="17"/>
  <c r="AN40" i="7"/>
  <c r="AN41" i="7" s="1"/>
  <c r="AI49" i="16"/>
  <c r="AI50" i="16" s="1"/>
  <c r="AJ43" i="16"/>
  <c r="AK42" i="16"/>
  <c r="AK46" i="16" s="1"/>
  <c r="AK47" i="16" s="1"/>
  <c r="AL40" i="16"/>
  <c r="AV242" i="4"/>
  <c r="AU261" i="4"/>
  <c r="AG254" i="4" l="1"/>
  <c r="AF263" i="4"/>
  <c r="AD59" i="21"/>
  <c r="AD63" i="22"/>
  <c r="AD59" i="23"/>
  <c r="AD59" i="18"/>
  <c r="AD64" i="19"/>
  <c r="AD52" i="16"/>
  <c r="AD59" i="17"/>
  <c r="AM49" i="18"/>
  <c r="AM56" i="18"/>
  <c r="AM57" i="18" s="1"/>
  <c r="AN52" i="18"/>
  <c r="AN53" i="18" s="1"/>
  <c r="AN54" i="18" s="1"/>
  <c r="AN55" i="18" s="1"/>
  <c r="AN46" i="18"/>
  <c r="AK48" i="16"/>
  <c r="AR57" i="21"/>
  <c r="AL54" i="19"/>
  <c r="AL51" i="19"/>
  <c r="AL55" i="19" s="1"/>
  <c r="AM47" i="19"/>
  <c r="AM46" i="19"/>
  <c r="AM58" i="19"/>
  <c r="AM59" i="19" s="1"/>
  <c r="AN303" i="4" s="1"/>
  <c r="AS56" i="21"/>
  <c r="AS60" i="22"/>
  <c r="AS56" i="23"/>
  <c r="AR57" i="23"/>
  <c r="Z58" i="21"/>
  <c r="Z46" i="21" s="1"/>
  <c r="Z47" i="21" s="1"/>
  <c r="Z62" i="22"/>
  <c r="Z50" i="22" s="1"/>
  <c r="Z51" i="22" s="1"/>
  <c r="Z58" i="23"/>
  <c r="Z49" i="23" s="1"/>
  <c r="Z50" i="23" s="1"/>
  <c r="AR61" i="22"/>
  <c r="AK61" i="19"/>
  <c r="AL60" i="19"/>
  <c r="AL61" i="19" s="1"/>
  <c r="Z58" i="18"/>
  <c r="Z50" i="18" s="1"/>
  <c r="Z51" i="18" s="1"/>
  <c r="Z63" i="19"/>
  <c r="Z56" i="19" s="1"/>
  <c r="Z57" i="19" s="1"/>
  <c r="AM50" i="19"/>
  <c r="AM48" i="19"/>
  <c r="AM52" i="19" s="1"/>
  <c r="AN43" i="19"/>
  <c r="AM49" i="19"/>
  <c r="AM45" i="19"/>
  <c r="AI57" i="17"/>
  <c r="AN45" i="18"/>
  <c r="AN47" i="18"/>
  <c r="AN44" i="18"/>
  <c r="AN43" i="18"/>
  <c r="AO41" i="18"/>
  <c r="Z51" i="16"/>
  <c r="Z44" i="16" s="1"/>
  <c r="Z45" i="16" s="1"/>
  <c r="Z58" i="17"/>
  <c r="Z50" i="17" s="1"/>
  <c r="Z51" i="17" s="1"/>
  <c r="AD248" i="4"/>
  <c r="AC262" i="4"/>
  <c r="AM48" i="17"/>
  <c r="AM49" i="17"/>
  <c r="AN45" i="17"/>
  <c r="AO43" i="17"/>
  <c r="AO46" i="17" s="1"/>
  <c r="AO52" i="17" s="1"/>
  <c r="AO53" i="17" s="1"/>
  <c r="AO54" i="17" s="1"/>
  <c r="AO55" i="17" s="1"/>
  <c r="AJ56" i="17"/>
  <c r="AO40" i="7"/>
  <c r="AO41" i="7" s="1"/>
  <c r="AJ49" i="16"/>
  <c r="AJ50" i="16" s="1"/>
  <c r="AK43" i="16"/>
  <c r="AL42" i="16"/>
  <c r="AL46" i="16" s="1"/>
  <c r="AL47" i="16" s="1"/>
  <c r="AM40" i="16"/>
  <c r="AW242" i="4"/>
  <c r="AV261" i="4"/>
  <c r="AH254" i="4" l="1"/>
  <c r="AG263" i="4"/>
  <c r="AE59" i="17"/>
  <c r="AE59" i="21"/>
  <c r="AE59" i="23"/>
  <c r="AE59" i="18"/>
  <c r="AE64" i="19"/>
  <c r="AE52" i="16"/>
  <c r="AE63" i="22"/>
  <c r="AK49" i="16"/>
  <c r="AK50" i="16" s="1"/>
  <c r="AN49" i="18"/>
  <c r="AN56" i="18"/>
  <c r="AN57" i="18" s="1"/>
  <c r="AO52" i="18"/>
  <c r="AO53" i="18" s="1"/>
  <c r="AO54" i="18" s="1"/>
  <c r="AO55" i="18" s="1"/>
  <c r="AO46" i="18"/>
  <c r="AL48" i="16"/>
  <c r="AL62" i="19"/>
  <c r="AK62" i="19"/>
  <c r="AS57" i="21"/>
  <c r="AM54" i="19"/>
  <c r="AM51" i="19"/>
  <c r="AM55" i="19" s="1"/>
  <c r="AN46" i="19"/>
  <c r="AN47" i="19"/>
  <c r="AN58" i="19"/>
  <c r="AN59" i="19" s="1"/>
  <c r="AO303" i="4" s="1"/>
  <c r="AA58" i="21"/>
  <c r="AA46" i="21" s="1"/>
  <c r="AA47" i="21" s="1"/>
  <c r="AA62" i="22"/>
  <c r="AA50" i="22" s="1"/>
  <c r="AA51" i="22" s="1"/>
  <c r="AA58" i="23"/>
  <c r="AA49" i="23" s="1"/>
  <c r="AA50" i="23" s="1"/>
  <c r="AS57" i="23"/>
  <c r="AT56" i="21"/>
  <c r="AT56" i="23"/>
  <c r="AT60" i="22"/>
  <c r="AS61" i="22"/>
  <c r="AM60" i="19"/>
  <c r="AA58" i="18"/>
  <c r="AA50" i="18" s="1"/>
  <c r="AA51" i="18" s="1"/>
  <c r="AA63" i="19"/>
  <c r="AA56" i="19" s="1"/>
  <c r="AA57" i="19" s="1"/>
  <c r="AN50" i="19"/>
  <c r="AN48" i="19"/>
  <c r="AN52" i="19" s="1"/>
  <c r="AN49" i="19"/>
  <c r="AO43" i="19"/>
  <c r="AN45" i="19"/>
  <c r="AJ57" i="17"/>
  <c r="AO44" i="18"/>
  <c r="AO45" i="18"/>
  <c r="AO43" i="18"/>
  <c r="AO47" i="18"/>
  <c r="AP41" i="18"/>
  <c r="AE248" i="4"/>
  <c r="AD262" i="4"/>
  <c r="AA51" i="16"/>
  <c r="AA44" i="16" s="1"/>
  <c r="AA45" i="16" s="1"/>
  <c r="AA58" i="17"/>
  <c r="AA50" i="17" s="1"/>
  <c r="AA51" i="17" s="1"/>
  <c r="AN48" i="17"/>
  <c r="AN49" i="17"/>
  <c r="AO45" i="17"/>
  <c r="AP43" i="17"/>
  <c r="AP46" i="17" s="1"/>
  <c r="AP52" i="17" s="1"/>
  <c r="AP53" i="17" s="1"/>
  <c r="AP54" i="17" s="1"/>
  <c r="AP55" i="17" s="1"/>
  <c r="AK56" i="17"/>
  <c r="AP40" i="7"/>
  <c r="AP41" i="7" s="1"/>
  <c r="AL43" i="16"/>
  <c r="AM42" i="16"/>
  <c r="AM46" i="16" s="1"/>
  <c r="AM47" i="16" s="1"/>
  <c r="AN40" i="16"/>
  <c r="AX242" i="4"/>
  <c r="AX261" i="4" s="1"/>
  <c r="AW261" i="4"/>
  <c r="AI254" i="4" l="1"/>
  <c r="AH263" i="4"/>
  <c r="AF59" i="17"/>
  <c r="AF59" i="18"/>
  <c r="AF64" i="19"/>
  <c r="AF52" i="16"/>
  <c r="AF59" i="21"/>
  <c r="AF59" i="23"/>
  <c r="AF63" i="22"/>
  <c r="AL49" i="16"/>
  <c r="AL50" i="16" s="1"/>
  <c r="AO56" i="18"/>
  <c r="AO57" i="18" s="1"/>
  <c r="AP46" i="18"/>
  <c r="AP52" i="18"/>
  <c r="AP53" i="18" s="1"/>
  <c r="AP54" i="18" s="1"/>
  <c r="AP55" i="18" s="1"/>
  <c r="AO49" i="18"/>
  <c r="AM48" i="16"/>
  <c r="AT57" i="21"/>
  <c r="AO58" i="19"/>
  <c r="AO59" i="19" s="1"/>
  <c r="AP303" i="4" s="1"/>
  <c r="AO46" i="19"/>
  <c r="AO47" i="19"/>
  <c r="AN54" i="19"/>
  <c r="AN51" i="19"/>
  <c r="AN55" i="19" s="1"/>
  <c r="AT61" i="22"/>
  <c r="AB58" i="21"/>
  <c r="AB58" i="23"/>
  <c r="AB62" i="22"/>
  <c r="AT57" i="23"/>
  <c r="AU56" i="21"/>
  <c r="AU60" i="22"/>
  <c r="AU56" i="23"/>
  <c r="AV56" i="21"/>
  <c r="AV57" i="21" s="1"/>
  <c r="AV56" i="23"/>
  <c r="AV60" i="22"/>
  <c r="AM61" i="19"/>
  <c r="AN60" i="19"/>
  <c r="AB58" i="18"/>
  <c r="AB63" i="19"/>
  <c r="AO50" i="19"/>
  <c r="AO49" i="19"/>
  <c r="AP43" i="19"/>
  <c r="AO48" i="19"/>
  <c r="AO52" i="19" s="1"/>
  <c r="AO45" i="19"/>
  <c r="AK57" i="17"/>
  <c r="AP45" i="18"/>
  <c r="AP44" i="18"/>
  <c r="AP43" i="18"/>
  <c r="AP47" i="18"/>
  <c r="AQ41" i="18"/>
  <c r="AB58" i="17"/>
  <c r="AB51" i="16"/>
  <c r="AF248" i="4"/>
  <c r="AE262" i="4"/>
  <c r="AO48" i="17"/>
  <c r="AO49" i="17"/>
  <c r="AP45" i="17"/>
  <c r="AQ43" i="17"/>
  <c r="AQ46" i="17" s="1"/>
  <c r="AQ52" i="17" s="1"/>
  <c r="AQ53" i="17" s="1"/>
  <c r="AQ54" i="17" s="1"/>
  <c r="AQ55" i="17" s="1"/>
  <c r="AL56" i="17"/>
  <c r="AQ40" i="7"/>
  <c r="AQ41" i="7" s="1"/>
  <c r="AM43" i="16"/>
  <c r="AN42" i="16"/>
  <c r="AN46" i="16" s="1"/>
  <c r="AN47" i="16" s="1"/>
  <c r="AO40" i="16"/>
  <c r="G17" i="15"/>
  <c r="H17" i="15" s="1"/>
  <c r="G16" i="15"/>
  <c r="H16" i="15" s="1"/>
  <c r="G15" i="15"/>
  <c r="H15" i="15" s="1"/>
  <c r="G14" i="15"/>
  <c r="H14" i="15" s="1"/>
  <c r="H13" i="15"/>
  <c r="E17" i="15"/>
  <c r="I17" i="15" s="1"/>
  <c r="AB68" i="15" s="1"/>
  <c r="E16" i="15"/>
  <c r="I16" i="15" s="1"/>
  <c r="X68" i="15" s="1"/>
  <c r="I14" i="15"/>
  <c r="I15" i="15"/>
  <c r="T68" i="15" s="1"/>
  <c r="E15" i="15"/>
  <c r="F15" i="15" s="1"/>
  <c r="E14" i="15"/>
  <c r="F13" i="15"/>
  <c r="B3" i="15"/>
  <c r="D353" i="4"/>
  <c r="D350" i="4"/>
  <c r="D351" i="4"/>
  <c r="D352" i="4"/>
  <c r="D349" i="4"/>
  <c r="D68" i="13"/>
  <c r="D69" i="13" s="1"/>
  <c r="B42" i="13"/>
  <c r="B41" i="13"/>
  <c r="C27" i="13"/>
  <c r="C25" i="13"/>
  <c r="C26" i="13"/>
  <c r="C15" i="13"/>
  <c r="C12" i="13"/>
  <c r="G3" i="13"/>
  <c r="B3" i="13"/>
  <c r="D3" i="8"/>
  <c r="B3" i="8"/>
  <c r="J17" i="9"/>
  <c r="C17" i="9" s="1"/>
  <c r="C21" i="9"/>
  <c r="K17" i="9" s="1"/>
  <c r="AJ254" i="4" l="1"/>
  <c r="AI263" i="4"/>
  <c r="AG59" i="17"/>
  <c r="AG59" i="21"/>
  <c r="AG63" i="22"/>
  <c r="AG59" i="18"/>
  <c r="AG64" i="19"/>
  <c r="AG52" i="16"/>
  <c r="AG59" i="23"/>
  <c r="AM49" i="16"/>
  <c r="AM50" i="16" s="1"/>
  <c r="AP56" i="18"/>
  <c r="AP57" i="18" s="1"/>
  <c r="AQ52" i="18"/>
  <c r="AQ53" i="18" s="1"/>
  <c r="AQ54" i="18" s="1"/>
  <c r="AQ55" i="18" s="1"/>
  <c r="AQ46" i="18"/>
  <c r="AP49" i="18"/>
  <c r="F67" i="15"/>
  <c r="F69" i="15" s="1"/>
  <c r="F76" i="15" s="1"/>
  <c r="AN48" i="16"/>
  <c r="AB44" i="16"/>
  <c r="AB45" i="16" s="1"/>
  <c r="C27" i="16" s="1"/>
  <c r="C30" i="16"/>
  <c r="C31" i="18"/>
  <c r="AB50" i="18"/>
  <c r="AB51" i="18" s="1"/>
  <c r="C28" i="18" s="1"/>
  <c r="C28" i="21"/>
  <c r="AB46" i="21"/>
  <c r="AB47" i="21" s="1"/>
  <c r="C25" i="21" s="1"/>
  <c r="C33" i="17"/>
  <c r="AB50" i="17"/>
  <c r="AB51" i="17" s="1"/>
  <c r="C30" i="17" s="1"/>
  <c r="C32" i="22"/>
  <c r="AB50" i="22"/>
  <c r="AB51" i="22" s="1"/>
  <c r="C29" i="22" s="1"/>
  <c r="AM62" i="19"/>
  <c r="AU57" i="21"/>
  <c r="C33" i="19"/>
  <c r="AB56" i="19"/>
  <c r="AB57" i="19" s="1"/>
  <c r="C30" i="19" s="1"/>
  <c r="C27" i="23"/>
  <c r="AB49" i="23"/>
  <c r="AB50" i="23" s="1"/>
  <c r="C24" i="23" s="1"/>
  <c r="AP46" i="19"/>
  <c r="AP58" i="19"/>
  <c r="AP59" i="19" s="1"/>
  <c r="AQ303" i="4" s="1"/>
  <c r="AP47" i="19"/>
  <c r="AO54" i="19"/>
  <c r="AO51" i="19"/>
  <c r="AO55" i="19" s="1"/>
  <c r="Q68" i="15"/>
  <c r="W63" i="15"/>
  <c r="AT63" i="15"/>
  <c r="V63" i="15"/>
  <c r="AM63" i="15"/>
  <c r="T63" i="15"/>
  <c r="X63" i="15"/>
  <c r="AE63" i="15"/>
  <c r="AJ63" i="15"/>
  <c r="AR63" i="15"/>
  <c r="AD63" i="15"/>
  <c r="AN63" i="15"/>
  <c r="AU63" i="15"/>
  <c r="AL63" i="15"/>
  <c r="Y63" i="15"/>
  <c r="U63" i="15"/>
  <c r="AG63" i="15"/>
  <c r="AO63" i="15"/>
  <c r="AF63" i="15"/>
  <c r="AK63" i="15"/>
  <c r="AP63" i="15"/>
  <c r="Z63" i="15"/>
  <c r="AV63" i="15"/>
  <c r="AW63" i="15"/>
  <c r="AA63" i="15"/>
  <c r="AQ63" i="15"/>
  <c r="R63" i="15"/>
  <c r="AI63" i="15"/>
  <c r="AX63" i="15"/>
  <c r="AH63" i="15"/>
  <c r="AY63" i="15"/>
  <c r="AB63" i="15"/>
  <c r="AC63" i="15"/>
  <c r="S63" i="15"/>
  <c r="AS63" i="15"/>
  <c r="AU57" i="23"/>
  <c r="AU61" i="22"/>
  <c r="AV57" i="23"/>
  <c r="AC58" i="21"/>
  <c r="AC46" i="21" s="1"/>
  <c r="AC47" i="21" s="1"/>
  <c r="AC62" i="22"/>
  <c r="AC50" i="22" s="1"/>
  <c r="AC51" i="22" s="1"/>
  <c r="AC58" i="23"/>
  <c r="AC49" i="23" s="1"/>
  <c r="AC50" i="23" s="1"/>
  <c r="AV61" i="22"/>
  <c r="C33" i="15"/>
  <c r="AN61" i="19"/>
  <c r="AO60" i="19"/>
  <c r="AO61" i="19" s="1"/>
  <c r="F14" i="15"/>
  <c r="K14" i="15" s="1"/>
  <c r="AC58" i="18"/>
  <c r="AC50" i="18" s="1"/>
  <c r="AC51" i="18" s="1"/>
  <c r="AC63" i="19"/>
  <c r="AC56" i="19" s="1"/>
  <c r="AC57" i="19" s="1"/>
  <c r="AP50" i="19"/>
  <c r="AP49" i="19"/>
  <c r="AQ43" i="19"/>
  <c r="AP48" i="19"/>
  <c r="AP52" i="19" s="1"/>
  <c r="AP45" i="19"/>
  <c r="AL57" i="17"/>
  <c r="AQ45" i="18"/>
  <c r="AQ47" i="18"/>
  <c r="AQ44" i="18"/>
  <c r="AQ43" i="18"/>
  <c r="AR41" i="18"/>
  <c r="AC51" i="16"/>
  <c r="AC44" i="16" s="1"/>
  <c r="AC45" i="16" s="1"/>
  <c r="AC58" i="17"/>
  <c r="AC50" i="17" s="1"/>
  <c r="AC51" i="17" s="1"/>
  <c r="AG248" i="4"/>
  <c r="AF262" i="4"/>
  <c r="AP48" i="17"/>
  <c r="AP49" i="17"/>
  <c r="AM56" i="17"/>
  <c r="AQ45" i="17"/>
  <c r="AR43" i="17"/>
  <c r="AR46" i="17" s="1"/>
  <c r="AR52" i="17" s="1"/>
  <c r="AR53" i="17" s="1"/>
  <c r="AR54" i="17" s="1"/>
  <c r="AR55" i="17" s="1"/>
  <c r="AR40" i="7"/>
  <c r="AR41" i="7" s="1"/>
  <c r="AN43" i="16"/>
  <c r="AO42" i="16"/>
  <c r="AO46" i="16" s="1"/>
  <c r="AO47" i="16" s="1"/>
  <c r="AP40" i="16"/>
  <c r="G60" i="15"/>
  <c r="G64" i="15"/>
  <c r="C16" i="9"/>
  <c r="K13" i="15"/>
  <c r="K15" i="15"/>
  <c r="F16" i="15"/>
  <c r="K16" i="15" s="1"/>
  <c r="F17" i="15"/>
  <c r="K17" i="15" s="1"/>
  <c r="G59" i="15"/>
  <c r="G61" i="15"/>
  <c r="G62" i="15"/>
  <c r="C32" i="13"/>
  <c r="D70" i="13"/>
  <c r="D73" i="13"/>
  <c r="D72" i="13"/>
  <c r="E68" i="13"/>
  <c r="F21" i="34"/>
  <c r="F19" i="34"/>
  <c r="F24" i="34"/>
  <c r="F20" i="34"/>
  <c r="F16" i="34"/>
  <c r="F23" i="34"/>
  <c r="AK254" i="4" l="1"/>
  <c r="AJ263" i="4"/>
  <c r="AH59" i="17"/>
  <c r="AH52" i="16"/>
  <c r="AH59" i="21"/>
  <c r="AH59" i="23"/>
  <c r="AH59" i="18"/>
  <c r="AH64" i="19"/>
  <c r="AH63" i="22"/>
  <c r="P80" i="15"/>
  <c r="Q80" i="15"/>
  <c r="Q81" i="15" s="1"/>
  <c r="R80" i="15"/>
  <c r="R293" i="4" s="1"/>
  <c r="S265" i="4" s="1"/>
  <c r="S264" i="4" s="1"/>
  <c r="S266" i="4" s="1"/>
  <c r="S80" i="15"/>
  <c r="U80" i="15"/>
  <c r="V80" i="15"/>
  <c r="V293" i="4" s="1"/>
  <c r="W265" i="4" s="1"/>
  <c r="W264" i="4" s="1"/>
  <c r="W266" i="4" s="1"/>
  <c r="W80" i="15"/>
  <c r="W293" i="4" s="1"/>
  <c r="X265" i="4" s="1"/>
  <c r="X264" i="4" s="1"/>
  <c r="X266" i="4" s="1"/>
  <c r="X80" i="15"/>
  <c r="X293" i="4" s="1"/>
  <c r="Y265" i="4" s="1"/>
  <c r="Y264" i="4" s="1"/>
  <c r="Y266" i="4" s="1"/>
  <c r="Y80" i="15"/>
  <c r="Y293" i="4" s="1"/>
  <c r="Z265" i="4" s="1"/>
  <c r="Z264" i="4" s="1"/>
  <c r="Z266" i="4" s="1"/>
  <c r="Z80" i="15"/>
  <c r="Z293" i="4" s="1"/>
  <c r="AA265" i="4" s="1"/>
  <c r="AA264" i="4" s="1"/>
  <c r="AA266" i="4" s="1"/>
  <c r="AA80" i="15"/>
  <c r="AA293" i="4" s="1"/>
  <c r="AB265" i="4" s="1"/>
  <c r="AB264" i="4" s="1"/>
  <c r="AB266" i="4" s="1"/>
  <c r="AB80" i="15"/>
  <c r="AB293" i="4" s="1"/>
  <c r="AC265" i="4" s="1"/>
  <c r="AC264" i="4" s="1"/>
  <c r="AC266" i="4" s="1"/>
  <c r="AC80" i="15"/>
  <c r="T80" i="15"/>
  <c r="AD80" i="15"/>
  <c r="AD293" i="4" s="1"/>
  <c r="AE80" i="15"/>
  <c r="AE293" i="4" s="1"/>
  <c r="AF80" i="15"/>
  <c r="AG80" i="15"/>
  <c r="AH80" i="15"/>
  <c r="AI80" i="15"/>
  <c r="AJ80" i="15"/>
  <c r="AK80" i="15"/>
  <c r="AL80" i="15"/>
  <c r="AM80" i="15"/>
  <c r="AM293" i="4" s="1"/>
  <c r="AN80" i="15"/>
  <c r="AO80" i="15"/>
  <c r="AP80" i="15"/>
  <c r="AQ80" i="15"/>
  <c r="AQ81" i="15" s="1"/>
  <c r="AR80" i="15"/>
  <c r="AS80" i="15"/>
  <c r="AS81" i="15" s="1"/>
  <c r="AT80" i="15"/>
  <c r="AT81" i="15" s="1"/>
  <c r="AU80" i="15"/>
  <c r="AU81" i="15" s="1"/>
  <c r="AV80" i="15"/>
  <c r="AV81" i="15" s="1"/>
  <c r="AW80" i="15"/>
  <c r="AW81" i="15" s="1"/>
  <c r="AX80" i="15"/>
  <c r="AX81" i="15" s="1"/>
  <c r="AY80" i="15"/>
  <c r="AY81" i="15" s="1"/>
  <c r="D80" i="15"/>
  <c r="E80" i="15"/>
  <c r="E81" i="15" s="1"/>
  <c r="F80" i="15"/>
  <c r="F81" i="15" s="1"/>
  <c r="G80" i="15"/>
  <c r="G81" i="15" s="1"/>
  <c r="H80" i="15"/>
  <c r="H81" i="15" s="1"/>
  <c r="I80" i="15"/>
  <c r="I81" i="15" s="1"/>
  <c r="J80" i="15"/>
  <c r="J81" i="15" s="1"/>
  <c r="K80" i="15"/>
  <c r="K81" i="15" s="1"/>
  <c r="L80" i="15"/>
  <c r="L81" i="15" s="1"/>
  <c r="M80" i="15"/>
  <c r="M81" i="15" s="1"/>
  <c r="N80" i="15"/>
  <c r="N81" i="15" s="1"/>
  <c r="O80" i="15"/>
  <c r="O81" i="15" s="1"/>
  <c r="AQ49" i="18"/>
  <c r="F75" i="15"/>
  <c r="F77" i="15"/>
  <c r="AQ56" i="18"/>
  <c r="AQ57" i="18" s="1"/>
  <c r="AR46" i="18"/>
  <c r="AR52" i="18"/>
  <c r="AR53" i="18" s="1"/>
  <c r="AR54" i="18" s="1"/>
  <c r="AR55" i="18" s="1"/>
  <c r="AO48" i="16"/>
  <c r="AN62" i="19"/>
  <c r="AO62" i="19"/>
  <c r="AQ58" i="19"/>
  <c r="AQ59" i="19" s="1"/>
  <c r="AR303" i="4" s="1"/>
  <c r="AQ46" i="19"/>
  <c r="AQ47" i="19"/>
  <c r="AP54" i="19"/>
  <c r="AP51" i="19"/>
  <c r="AP55" i="19" s="1"/>
  <c r="G67" i="15"/>
  <c r="G69" i="15" s="1"/>
  <c r="AD58" i="21"/>
  <c r="AD46" i="21" s="1"/>
  <c r="AD47" i="21" s="1"/>
  <c r="AD62" i="22"/>
  <c r="AD50" i="22" s="1"/>
  <c r="AD51" i="22" s="1"/>
  <c r="AD58" i="23"/>
  <c r="AD49" i="23" s="1"/>
  <c r="AD50" i="23" s="1"/>
  <c r="X294" i="4"/>
  <c r="AE81" i="15"/>
  <c r="AE294" i="4"/>
  <c r="AF294" i="4"/>
  <c r="AR81" i="15"/>
  <c r="P81" i="15"/>
  <c r="AP60" i="19"/>
  <c r="K18" i="15"/>
  <c r="AD58" i="18"/>
  <c r="AD50" i="18" s="1"/>
  <c r="AD51" i="18" s="1"/>
  <c r="AD63" i="19"/>
  <c r="AD56" i="19" s="1"/>
  <c r="AD57" i="19" s="1"/>
  <c r="AQ50" i="19"/>
  <c r="AQ45" i="19"/>
  <c r="AQ49" i="19"/>
  <c r="AR43" i="19"/>
  <c r="AQ48" i="19"/>
  <c r="AQ52" i="19" s="1"/>
  <c r="AM57" i="17"/>
  <c r="AR45" i="18"/>
  <c r="AR44" i="18"/>
  <c r="AR43" i="18"/>
  <c r="AR47" i="18"/>
  <c r="AS41" i="18"/>
  <c r="AD51" i="16"/>
  <c r="AD44" i="16" s="1"/>
  <c r="AD45" i="16" s="1"/>
  <c r="AD58" i="17"/>
  <c r="AD50" i="17" s="1"/>
  <c r="AD51" i="17" s="1"/>
  <c r="AH248" i="4"/>
  <c r="AG262" i="4"/>
  <c r="AQ48" i="17"/>
  <c r="AQ49" i="17"/>
  <c r="AS43" i="17"/>
  <c r="AS46" i="17" s="1"/>
  <c r="AS52" i="17" s="1"/>
  <c r="AS53" i="17" s="1"/>
  <c r="AS54" i="17" s="1"/>
  <c r="AS55" i="17" s="1"/>
  <c r="AR45" i="17"/>
  <c r="AN56" i="17"/>
  <c r="AS40" i="7"/>
  <c r="AS41" i="7" s="1"/>
  <c r="AN49" i="16"/>
  <c r="AN50" i="16" s="1"/>
  <c r="AO43" i="16"/>
  <c r="AQ40" i="16"/>
  <c r="AP42" i="16"/>
  <c r="AP46" i="16" s="1"/>
  <c r="AP47" i="16" s="1"/>
  <c r="H64" i="15"/>
  <c r="H61" i="15"/>
  <c r="H62" i="15"/>
  <c r="H60" i="15"/>
  <c r="H59" i="15"/>
  <c r="H58" i="15"/>
  <c r="D75" i="13"/>
  <c r="D78" i="13"/>
  <c r="D79" i="13"/>
  <c r="D74" i="13"/>
  <c r="E69" i="13"/>
  <c r="F68" i="13"/>
  <c r="F18" i="34"/>
  <c r="X81" i="15" l="1"/>
  <c r="AM81" i="15"/>
  <c r="AM294" i="4"/>
  <c r="Z294" i="4"/>
  <c r="Z81" i="15"/>
  <c r="AD294" i="4"/>
  <c r="AD81" i="15"/>
  <c r="T293" i="4"/>
  <c r="U265" i="4" s="1"/>
  <c r="U264" i="4" s="1"/>
  <c r="U266" i="4" s="1"/>
  <c r="T81" i="15"/>
  <c r="U301" i="4" s="1"/>
  <c r="T294" i="4"/>
  <c r="AF293" i="4"/>
  <c r="AF81" i="15"/>
  <c r="AG301" i="4" s="1"/>
  <c r="AJ293" i="4"/>
  <c r="AJ294" i="4"/>
  <c r="AN293" i="4"/>
  <c r="AN81" i="15"/>
  <c r="AN294" i="4"/>
  <c r="Y81" i="15"/>
  <c r="Z301" i="4" s="1"/>
  <c r="W294" i="4"/>
  <c r="AB81" i="15"/>
  <c r="V294" i="4"/>
  <c r="R294" i="4"/>
  <c r="AB294" i="4"/>
  <c r="W81" i="15"/>
  <c r="X301" i="4" s="1"/>
  <c r="V81" i="15"/>
  <c r="W301" i="4" s="1"/>
  <c r="R81" i="15"/>
  <c r="S301" i="4" s="1"/>
  <c r="Y294" i="4"/>
  <c r="AA294" i="4"/>
  <c r="AJ81" i="15"/>
  <c r="AK301" i="4" s="1"/>
  <c r="AA81" i="15"/>
  <c r="S293" i="4"/>
  <c r="T265" i="4" s="1"/>
  <c r="T264" i="4" s="1"/>
  <c r="T266" i="4" s="1"/>
  <c r="S81" i="15"/>
  <c r="T301" i="4" s="1"/>
  <c r="S294" i="4"/>
  <c r="U293" i="4"/>
  <c r="V265" i="4" s="1"/>
  <c r="V264" i="4" s="1"/>
  <c r="V266" i="4" s="1"/>
  <c r="U81" i="15"/>
  <c r="V301" i="4" s="1"/>
  <c r="U294" i="4"/>
  <c r="AC293" i="4"/>
  <c r="AH291" i="4" s="1"/>
  <c r="AC294" i="4"/>
  <c r="AC81" i="15"/>
  <c r="AD301" i="4" s="1"/>
  <c r="AG293" i="4"/>
  <c r="AG81" i="15"/>
  <c r="AH301" i="4" s="1"/>
  <c r="AG294" i="4"/>
  <c r="AH293" i="4"/>
  <c r="AH294" i="4"/>
  <c r="AH81" i="15"/>
  <c r="AI301" i="4" s="1"/>
  <c r="AI293" i="4"/>
  <c r="AI81" i="15"/>
  <c r="AJ301" i="4" s="1"/>
  <c r="AI294" i="4"/>
  <c r="AK293" i="4"/>
  <c r="AK81" i="15"/>
  <c r="AL301" i="4" s="1"/>
  <c r="AK294" i="4"/>
  <c r="AL293" i="4"/>
  <c r="AL81" i="15"/>
  <c r="AM301" i="4" s="1"/>
  <c r="AL294" i="4"/>
  <c r="AO293" i="4"/>
  <c r="AO294" i="4"/>
  <c r="AO81" i="15"/>
  <c r="AP301" i="4" s="1"/>
  <c r="AP81" i="15"/>
  <c r="AQ301" i="4" s="1"/>
  <c r="AP294" i="4"/>
  <c r="D294" i="4"/>
  <c r="D81" i="15"/>
  <c r="E301" i="4" s="1"/>
  <c r="AL254" i="4"/>
  <c r="AK263" i="4"/>
  <c r="AI59" i="18"/>
  <c r="AI59" i="21"/>
  <c r="AI59" i="23"/>
  <c r="AI63" i="22"/>
  <c r="AI64" i="19"/>
  <c r="AI52" i="16"/>
  <c r="AI59" i="17"/>
  <c r="P294" i="4"/>
  <c r="P293" i="4"/>
  <c r="Q265" i="4" s="1"/>
  <c r="Q264" i="4" s="1"/>
  <c r="Q266" i="4" s="1"/>
  <c r="Q294" i="4"/>
  <c r="Q293" i="4"/>
  <c r="R265" i="4" s="1"/>
  <c r="R264" i="4" s="1"/>
  <c r="R266" i="4" s="1"/>
  <c r="E293" i="4"/>
  <c r="F265" i="4" s="1"/>
  <c r="F264" i="4" s="1"/>
  <c r="F266" i="4" s="1"/>
  <c r="E294" i="4"/>
  <c r="F294" i="4"/>
  <c r="F293" i="4"/>
  <c r="G265" i="4" s="1"/>
  <c r="G264" i="4" s="1"/>
  <c r="G266" i="4" s="1"/>
  <c r="G294" i="4"/>
  <c r="G293" i="4"/>
  <c r="H265" i="4" s="1"/>
  <c r="H264" i="4" s="1"/>
  <c r="H266" i="4" s="1"/>
  <c r="H293" i="4"/>
  <c r="I265" i="4" s="1"/>
  <c r="I264" i="4" s="1"/>
  <c r="I266" i="4" s="1"/>
  <c r="H294" i="4"/>
  <c r="I294" i="4"/>
  <c r="I293" i="4"/>
  <c r="J265" i="4" s="1"/>
  <c r="J264" i="4" s="1"/>
  <c r="J266" i="4" s="1"/>
  <c r="J294" i="4"/>
  <c r="J293" i="4"/>
  <c r="K265" i="4" s="1"/>
  <c r="K264" i="4" s="1"/>
  <c r="K266" i="4" s="1"/>
  <c r="K294" i="4"/>
  <c r="K293" i="4"/>
  <c r="L265" i="4" s="1"/>
  <c r="L264" i="4" s="1"/>
  <c r="L266" i="4" s="1"/>
  <c r="L294" i="4"/>
  <c r="L293" i="4"/>
  <c r="M265" i="4" s="1"/>
  <c r="M264" i="4" s="1"/>
  <c r="M266" i="4" s="1"/>
  <c r="M294" i="4"/>
  <c r="M293" i="4"/>
  <c r="N265" i="4" s="1"/>
  <c r="N264" i="4" s="1"/>
  <c r="N266" i="4" s="1"/>
  <c r="N293" i="4"/>
  <c r="O265" i="4" s="1"/>
  <c r="O264" i="4" s="1"/>
  <c r="O266" i="4" s="1"/>
  <c r="N294" i="4"/>
  <c r="O294" i="4"/>
  <c r="O293" i="4"/>
  <c r="P265" i="4" s="1"/>
  <c r="P264" i="4" s="1"/>
  <c r="P266" i="4" s="1"/>
  <c r="G82" i="15"/>
  <c r="G84" i="15"/>
  <c r="G83" i="15"/>
  <c r="AO49" i="16"/>
  <c r="AO50" i="16" s="1"/>
  <c r="AP293" i="4"/>
  <c r="AR56" i="18"/>
  <c r="AR57" i="18" s="1"/>
  <c r="AS46" i="18"/>
  <c r="AS52" i="18"/>
  <c r="AS53" i="18" s="1"/>
  <c r="AS54" i="18" s="1"/>
  <c r="AS55" i="18" s="1"/>
  <c r="AR49" i="18"/>
  <c r="O301" i="4"/>
  <c r="AE301" i="4"/>
  <c r="G301" i="4"/>
  <c r="AA301" i="4"/>
  <c r="AB301" i="4"/>
  <c r="AN301" i="4"/>
  <c r="F301" i="4"/>
  <c r="Q301" i="4"/>
  <c r="P301" i="4"/>
  <c r="R301" i="4"/>
  <c r="AO301" i="4"/>
  <c r="AC301" i="4"/>
  <c r="N301" i="4"/>
  <c r="K301" i="4"/>
  <c r="H301" i="4"/>
  <c r="AF301" i="4"/>
  <c r="I301" i="4"/>
  <c r="J301" i="4"/>
  <c r="Y301" i="4"/>
  <c r="L301" i="4"/>
  <c r="M301" i="4"/>
  <c r="AP48" i="16"/>
  <c r="D77" i="13"/>
  <c r="AR58" i="19"/>
  <c r="AR59" i="19" s="1"/>
  <c r="AS303" i="4" s="1"/>
  <c r="AR47" i="19"/>
  <c r="AR46" i="19"/>
  <c r="AQ54" i="19"/>
  <c r="AQ51" i="19"/>
  <c r="AQ55" i="19" s="1"/>
  <c r="F70" i="15"/>
  <c r="G70" i="15"/>
  <c r="G73" i="15" s="1"/>
  <c r="G76" i="15" s="1"/>
  <c r="G79" i="15"/>
  <c r="H67" i="15"/>
  <c r="H69" i="15" s="1"/>
  <c r="AE58" i="21"/>
  <c r="AE46" i="21" s="1"/>
  <c r="AE47" i="21" s="1"/>
  <c r="AE58" i="23"/>
  <c r="AE49" i="23" s="1"/>
  <c r="AE50" i="23" s="1"/>
  <c r="AE62" i="22"/>
  <c r="AE50" i="22" s="1"/>
  <c r="AE51" i="22" s="1"/>
  <c r="AP61" i="19"/>
  <c r="AQ294" i="4"/>
  <c r="AQ60" i="19"/>
  <c r="AE58" i="18"/>
  <c r="AE50" i="18" s="1"/>
  <c r="AE51" i="18" s="1"/>
  <c r="AE63" i="19"/>
  <c r="AE56" i="19" s="1"/>
  <c r="AE57" i="19" s="1"/>
  <c r="AR50" i="19"/>
  <c r="H84" i="15"/>
  <c r="H83" i="15"/>
  <c r="H82" i="15"/>
  <c r="AR49" i="19"/>
  <c r="AS43" i="19"/>
  <c r="AR45" i="19"/>
  <c r="AR48" i="19"/>
  <c r="AR52" i="19" s="1"/>
  <c r="AN57" i="17"/>
  <c r="AS47" i="18"/>
  <c r="AS45" i="18"/>
  <c r="AS44" i="18"/>
  <c r="AS43" i="18"/>
  <c r="AT41" i="18"/>
  <c r="AI248" i="4"/>
  <c r="AH262" i="4"/>
  <c r="AE51" i="16"/>
  <c r="AE44" i="16" s="1"/>
  <c r="AE45" i="16" s="1"/>
  <c r="AE58" i="17"/>
  <c r="AE50" i="17" s="1"/>
  <c r="AE51" i="17" s="1"/>
  <c r="AR48" i="17"/>
  <c r="AR49" i="17"/>
  <c r="AO56" i="17"/>
  <c r="AT43" i="17"/>
  <c r="AT46" i="17" s="1"/>
  <c r="AT52" i="17" s="1"/>
  <c r="AT53" i="17" s="1"/>
  <c r="AT54" i="17" s="1"/>
  <c r="AT55" i="17" s="1"/>
  <c r="AS45" i="17"/>
  <c r="AT40" i="7"/>
  <c r="AT41" i="7" s="1"/>
  <c r="AP43" i="16"/>
  <c r="AR40" i="16"/>
  <c r="AQ42" i="16"/>
  <c r="AQ46" i="16" s="1"/>
  <c r="AQ47" i="16" s="1"/>
  <c r="I64" i="15"/>
  <c r="H79" i="15"/>
  <c r="H72" i="15"/>
  <c r="H71" i="15"/>
  <c r="I79" i="15"/>
  <c r="H70" i="15"/>
  <c r="I61" i="15"/>
  <c r="I59" i="15"/>
  <c r="I62" i="15"/>
  <c r="I58" i="15"/>
  <c r="I60" i="15"/>
  <c r="E72" i="13"/>
  <c r="E73" i="13"/>
  <c r="G68" i="13"/>
  <c r="F69" i="13"/>
  <c r="AD265" i="4" l="1"/>
  <c r="AD264" i="4" s="1"/>
  <c r="AD266" i="4" s="1"/>
  <c r="G74" i="15"/>
  <c r="G75" i="15" s="1"/>
  <c r="AM254" i="4"/>
  <c r="AL263" i="4"/>
  <c r="AJ59" i="23"/>
  <c r="AJ59" i="21"/>
  <c r="AJ63" i="22"/>
  <c r="AJ59" i="18"/>
  <c r="AJ64" i="19"/>
  <c r="AJ59" i="17"/>
  <c r="AJ52" i="16"/>
  <c r="AP49" i="16"/>
  <c r="AP50" i="16" s="1"/>
  <c r="AQ293" i="4"/>
  <c r="AS49" i="18"/>
  <c r="AS56" i="18"/>
  <c r="AS57" i="18" s="1"/>
  <c r="AT46" i="18"/>
  <c r="AT52" i="18"/>
  <c r="AT53" i="18" s="1"/>
  <c r="AT54" i="18" s="1"/>
  <c r="AT55" i="18" s="1"/>
  <c r="AQ48" i="16"/>
  <c r="AR301" i="4"/>
  <c r="H74" i="15"/>
  <c r="AP62" i="19"/>
  <c r="AS58" i="19"/>
  <c r="AS59" i="19" s="1"/>
  <c r="AT303" i="4" s="1"/>
  <c r="AS47" i="19"/>
  <c r="AS46" i="19"/>
  <c r="AR54" i="19"/>
  <c r="AR51" i="19"/>
  <c r="AR55" i="19" s="1"/>
  <c r="I67" i="15"/>
  <c r="I69" i="15" s="1"/>
  <c r="AQ61" i="19"/>
  <c r="AF58" i="21"/>
  <c r="AF46" i="21" s="1"/>
  <c r="AF47" i="21" s="1"/>
  <c r="AF62" i="22"/>
  <c r="AF50" i="22" s="1"/>
  <c r="AF51" i="22" s="1"/>
  <c r="AF58" i="23"/>
  <c r="AF49" i="23" s="1"/>
  <c r="AF50" i="23" s="1"/>
  <c r="AR294" i="4"/>
  <c r="AR60" i="19"/>
  <c r="AR61" i="19" s="1"/>
  <c r="AF58" i="18"/>
  <c r="AF50" i="18" s="1"/>
  <c r="AF51" i="18" s="1"/>
  <c r="AF63" i="19"/>
  <c r="AF56" i="19" s="1"/>
  <c r="AF57" i="19" s="1"/>
  <c r="AS50" i="19"/>
  <c r="I83" i="15"/>
  <c r="AS49" i="19"/>
  <c r="AT43" i="19"/>
  <c r="AS45" i="19"/>
  <c r="AS48" i="19"/>
  <c r="AS52" i="19" s="1"/>
  <c r="AO57" i="17"/>
  <c r="AT47" i="18"/>
  <c r="AT45" i="18"/>
  <c r="AT44" i="18"/>
  <c r="AT43" i="18"/>
  <c r="AU41" i="18"/>
  <c r="AF51" i="16"/>
  <c r="AF44" i="16" s="1"/>
  <c r="AF45" i="16" s="1"/>
  <c r="AF58" i="17"/>
  <c r="AF50" i="17" s="1"/>
  <c r="AF51" i="17" s="1"/>
  <c r="AJ248" i="4"/>
  <c r="AI262" i="4"/>
  <c r="AS48" i="17"/>
  <c r="AS49" i="17"/>
  <c r="AU43" i="17"/>
  <c r="AU46" i="17" s="1"/>
  <c r="AU52" i="17" s="1"/>
  <c r="AU53" i="17" s="1"/>
  <c r="AU54" i="17" s="1"/>
  <c r="AU55" i="17" s="1"/>
  <c r="AT45" i="17"/>
  <c r="AP56" i="17"/>
  <c r="AU40" i="7"/>
  <c r="AU41" i="7" s="1"/>
  <c r="AQ43" i="16"/>
  <c r="AS40" i="16"/>
  <c r="AR42" i="16"/>
  <c r="AR46" i="16" s="1"/>
  <c r="AR47" i="16" s="1"/>
  <c r="I82" i="15"/>
  <c r="I84" i="15"/>
  <c r="F39" i="15" s="1"/>
  <c r="J82" i="15"/>
  <c r="J64" i="15"/>
  <c r="H73" i="15"/>
  <c r="G77" i="15"/>
  <c r="I70" i="15"/>
  <c r="I72" i="15"/>
  <c r="I71" i="15"/>
  <c r="J79" i="15"/>
  <c r="J61" i="15"/>
  <c r="J58" i="15"/>
  <c r="J62" i="15"/>
  <c r="J59" i="15"/>
  <c r="J60" i="15"/>
  <c r="G69" i="13"/>
  <c r="H68" i="13"/>
  <c r="F72" i="13"/>
  <c r="F73" i="13"/>
  <c r="T15" i="34"/>
  <c r="AN254" i="4" l="1"/>
  <c r="AM263" i="4"/>
  <c r="AK59" i="23"/>
  <c r="AK63" i="22"/>
  <c r="AK59" i="18"/>
  <c r="AK64" i="19"/>
  <c r="AK59" i="21"/>
  <c r="AK52" i="16"/>
  <c r="AK59" i="17"/>
  <c r="AR293" i="4"/>
  <c r="AQ49" i="16"/>
  <c r="AQ50" i="16" s="1"/>
  <c r="AT56" i="18"/>
  <c r="AT57" i="18" s="1"/>
  <c r="AU46" i="18"/>
  <c r="AU52" i="18"/>
  <c r="AU53" i="18" s="1"/>
  <c r="AU54" i="18" s="1"/>
  <c r="AU55" i="18" s="1"/>
  <c r="AT49" i="18"/>
  <c r="AR48" i="16"/>
  <c r="AS301" i="4"/>
  <c r="H75" i="15"/>
  <c r="I74" i="15"/>
  <c r="AQ62" i="19"/>
  <c r="AS54" i="19"/>
  <c r="AS51" i="19"/>
  <c r="AS55" i="19" s="1"/>
  <c r="AT58" i="19"/>
  <c r="AT59" i="19" s="1"/>
  <c r="AU303" i="4" s="1"/>
  <c r="AT47" i="19"/>
  <c r="AT46" i="19"/>
  <c r="J67" i="15"/>
  <c r="J69" i="15" s="1"/>
  <c r="AG58" i="21"/>
  <c r="AG46" i="21" s="1"/>
  <c r="AG47" i="21" s="1"/>
  <c r="AG58" i="23"/>
  <c r="AG49" i="23" s="1"/>
  <c r="AG50" i="23" s="1"/>
  <c r="AG62" i="22"/>
  <c r="AG50" i="22" s="1"/>
  <c r="AG51" i="22" s="1"/>
  <c r="AS294" i="4"/>
  <c r="AR62" i="19"/>
  <c r="AS60" i="19"/>
  <c r="AS61" i="19" s="1"/>
  <c r="AG58" i="18"/>
  <c r="AG50" i="18" s="1"/>
  <c r="AG51" i="18" s="1"/>
  <c r="AG63" i="19"/>
  <c r="AG56" i="19" s="1"/>
  <c r="AG57" i="19" s="1"/>
  <c r="AT50" i="19"/>
  <c r="J84" i="15"/>
  <c r="J83" i="15"/>
  <c r="J74" i="15" s="1"/>
  <c r="AT49" i="19"/>
  <c r="AU43" i="19"/>
  <c r="AT48" i="19"/>
  <c r="AT52" i="19" s="1"/>
  <c r="AT45" i="19"/>
  <c r="AP57" i="17"/>
  <c r="AU47" i="18"/>
  <c r="AU45" i="18"/>
  <c r="AU44" i="18"/>
  <c r="AU43" i="18"/>
  <c r="AV41" i="18"/>
  <c r="AK248" i="4"/>
  <c r="AJ262" i="4"/>
  <c r="AG51" i="16"/>
  <c r="AG44" i="16" s="1"/>
  <c r="AG45" i="16" s="1"/>
  <c r="AG58" i="17"/>
  <c r="AG50" i="17" s="1"/>
  <c r="AG51" i="17" s="1"/>
  <c r="AT48" i="17"/>
  <c r="AT49" i="17"/>
  <c r="AV43" i="17"/>
  <c r="AV46" i="17" s="1"/>
  <c r="AV52" i="17" s="1"/>
  <c r="AV53" i="17" s="1"/>
  <c r="AV54" i="17" s="1"/>
  <c r="AV55" i="17" s="1"/>
  <c r="AU45" i="17"/>
  <c r="AQ56" i="17"/>
  <c r="AV40" i="7"/>
  <c r="AV41" i="7" s="1"/>
  <c r="AR43" i="16"/>
  <c r="AT40" i="16"/>
  <c r="AS42" i="16"/>
  <c r="AS46" i="16" s="1"/>
  <c r="AS47" i="16" s="1"/>
  <c r="H77" i="15"/>
  <c r="K64" i="15"/>
  <c r="H76" i="15"/>
  <c r="I73" i="15"/>
  <c r="J70" i="15"/>
  <c r="J72" i="15"/>
  <c r="J71" i="15"/>
  <c r="K79" i="15"/>
  <c r="K62" i="15"/>
  <c r="K58" i="15"/>
  <c r="K59" i="15"/>
  <c r="K61" i="15"/>
  <c r="K60" i="15"/>
  <c r="I68" i="13"/>
  <c r="H69" i="13"/>
  <c r="G72" i="13"/>
  <c r="G73" i="13"/>
  <c r="G3" i="9"/>
  <c r="G59" i="12"/>
  <c r="Q59" i="12"/>
  <c r="AA59" i="12"/>
  <c r="AB59" i="12"/>
  <c r="AC59" i="12"/>
  <c r="AD59" i="12"/>
  <c r="AE59" i="12"/>
  <c r="AF59" i="12"/>
  <c r="AG59" i="12"/>
  <c r="AH59" i="12"/>
  <c r="AI59" i="12"/>
  <c r="AJ59" i="12"/>
  <c r="AK59" i="12"/>
  <c r="AL59" i="12"/>
  <c r="AM59" i="12"/>
  <c r="AN59" i="12"/>
  <c r="AO59" i="12"/>
  <c r="AP59" i="12"/>
  <c r="AQ59" i="12"/>
  <c r="AR59" i="12"/>
  <c r="AS59" i="12"/>
  <c r="AT59" i="12"/>
  <c r="AU59" i="12"/>
  <c r="U366" i="4"/>
  <c r="V366" i="4" s="1"/>
  <c r="K366" i="4"/>
  <c r="H59" i="12" s="1"/>
  <c r="C366" i="4"/>
  <c r="D366" i="4" s="1"/>
  <c r="E366" i="4" s="1"/>
  <c r="F366" i="4" s="1"/>
  <c r="C18" i="12"/>
  <c r="C86" i="4"/>
  <c r="AO254" i="4" l="1"/>
  <c r="AN263" i="4"/>
  <c r="AL63" i="22"/>
  <c r="AL59" i="18"/>
  <c r="AL59" i="21"/>
  <c r="AL64" i="19"/>
  <c r="AL59" i="23"/>
  <c r="AL52" i="16"/>
  <c r="AL59" i="17"/>
  <c r="AR49" i="16"/>
  <c r="AR50" i="16" s="1"/>
  <c r="AS293" i="4"/>
  <c r="AU56" i="18"/>
  <c r="AU57" i="18" s="1"/>
  <c r="AV46" i="18"/>
  <c r="AV52" i="18"/>
  <c r="AV53" i="18" s="1"/>
  <c r="AV54" i="18" s="1"/>
  <c r="AV55" i="18" s="1"/>
  <c r="AU49" i="18"/>
  <c r="AS48" i="16"/>
  <c r="AT301" i="4"/>
  <c r="I75" i="15"/>
  <c r="AS62" i="19"/>
  <c r="AU58" i="19"/>
  <c r="AU59" i="19" s="1"/>
  <c r="AV303" i="4" s="1"/>
  <c r="AU47" i="19"/>
  <c r="AU46" i="19"/>
  <c r="AT54" i="19"/>
  <c r="AT51" i="19"/>
  <c r="AT55" i="19" s="1"/>
  <c r="K67" i="15"/>
  <c r="K69" i="15" s="1"/>
  <c r="AH58" i="21"/>
  <c r="AH46" i="21" s="1"/>
  <c r="AH47" i="21" s="1"/>
  <c r="AH62" i="22"/>
  <c r="AH50" i="22" s="1"/>
  <c r="AH51" i="22" s="1"/>
  <c r="AH58" i="23"/>
  <c r="AH49" i="23" s="1"/>
  <c r="AH50" i="23" s="1"/>
  <c r="AT294" i="4"/>
  <c r="AT60" i="19"/>
  <c r="AH58" i="18"/>
  <c r="AH50" i="18" s="1"/>
  <c r="AH51" i="18" s="1"/>
  <c r="AH63" i="19"/>
  <c r="AH56" i="19" s="1"/>
  <c r="AH57" i="19" s="1"/>
  <c r="AU50" i="19"/>
  <c r="AV43" i="19"/>
  <c r="AU48" i="19"/>
  <c r="AU52" i="19" s="1"/>
  <c r="AU45" i="19"/>
  <c r="AU49" i="19"/>
  <c r="AQ57" i="17"/>
  <c r="AV47" i="18"/>
  <c r="AV45" i="18"/>
  <c r="AV44" i="18"/>
  <c r="AV43" i="18"/>
  <c r="AH51" i="16"/>
  <c r="AH44" i="16" s="1"/>
  <c r="AH45" i="16" s="1"/>
  <c r="AH58" i="17"/>
  <c r="AH50" i="17" s="1"/>
  <c r="AH51" i="17" s="1"/>
  <c r="AL248" i="4"/>
  <c r="AK262" i="4"/>
  <c r="AV45" i="17"/>
  <c r="AV48" i="17" s="1"/>
  <c r="AU48" i="17"/>
  <c r="AU49" i="17"/>
  <c r="AR56" i="17"/>
  <c r="AS43" i="16"/>
  <c r="AU40" i="16"/>
  <c r="AT42" i="16"/>
  <c r="AT46" i="16" s="1"/>
  <c r="AT47" i="16" s="1"/>
  <c r="K84" i="15"/>
  <c r="L64" i="15"/>
  <c r="K82" i="15"/>
  <c r="K83" i="15"/>
  <c r="I76" i="15"/>
  <c r="I77" i="15"/>
  <c r="L83" i="15"/>
  <c r="L82" i="15"/>
  <c r="J73" i="15"/>
  <c r="K70" i="15"/>
  <c r="K71" i="15"/>
  <c r="K72" i="15"/>
  <c r="L79" i="15"/>
  <c r="L60" i="15"/>
  <c r="L59" i="15"/>
  <c r="L62" i="15"/>
  <c r="L58" i="15"/>
  <c r="L61" i="15"/>
  <c r="H72" i="13"/>
  <c r="H73" i="13"/>
  <c r="J68" i="13"/>
  <c r="I69" i="13"/>
  <c r="G366" i="4"/>
  <c r="C59" i="12"/>
  <c r="W366" i="4"/>
  <c r="S59" i="12"/>
  <c r="R59" i="12"/>
  <c r="L366" i="4"/>
  <c r="H81" i="4"/>
  <c r="H82" i="4"/>
  <c r="H83" i="4"/>
  <c r="H84" i="4"/>
  <c r="H85" i="4"/>
  <c r="H80" i="4"/>
  <c r="E13" i="12"/>
  <c r="E14" i="12"/>
  <c r="E15" i="12"/>
  <c r="E16" i="12"/>
  <c r="E17" i="12"/>
  <c r="E12" i="12"/>
  <c r="D18" i="12"/>
  <c r="C49" i="12"/>
  <c r="C9" i="12"/>
  <c r="B3" i="12"/>
  <c r="AP254" i="4" l="1"/>
  <c r="AO263" i="4"/>
  <c r="AM59" i="17"/>
  <c r="AM59" i="21"/>
  <c r="AM63" i="22"/>
  <c r="AM59" i="18"/>
  <c r="AM64" i="19"/>
  <c r="AM52" i="16"/>
  <c r="AM59" i="23"/>
  <c r="AS49" i="16"/>
  <c r="AS50" i="16" s="1"/>
  <c r="AT293" i="4"/>
  <c r="AV56" i="18"/>
  <c r="AV57" i="18" s="1"/>
  <c r="AV49" i="18"/>
  <c r="AT48" i="16"/>
  <c r="AU301" i="4"/>
  <c r="K74" i="15"/>
  <c r="L74" i="15"/>
  <c r="AV46" i="19"/>
  <c r="AV58" i="19"/>
  <c r="AV59" i="19" s="1"/>
  <c r="AW303" i="4" s="1"/>
  <c r="AV47" i="19"/>
  <c r="AU54" i="19"/>
  <c r="AU51" i="19"/>
  <c r="AU55" i="19" s="1"/>
  <c r="L67" i="15"/>
  <c r="L69" i="15" s="1"/>
  <c r="AI58" i="21"/>
  <c r="AI46" i="21" s="1"/>
  <c r="AI47" i="21" s="1"/>
  <c r="AI62" i="22"/>
  <c r="AI50" i="22" s="1"/>
  <c r="AI51" i="22" s="1"/>
  <c r="AI58" i="23"/>
  <c r="AI49" i="23" s="1"/>
  <c r="AI50" i="23" s="1"/>
  <c r="AT61" i="19"/>
  <c r="AU294" i="4"/>
  <c r="AU60" i="19"/>
  <c r="AI58" i="18"/>
  <c r="AI50" i="18" s="1"/>
  <c r="AI51" i="18" s="1"/>
  <c r="AI63" i="19"/>
  <c r="AI56" i="19" s="1"/>
  <c r="AI57" i="19" s="1"/>
  <c r="AV50" i="19"/>
  <c r="AV45" i="19"/>
  <c r="AV48" i="19"/>
  <c r="AV52" i="19" s="1"/>
  <c r="AV49" i="19"/>
  <c r="AR57" i="17"/>
  <c r="AV49" i="17"/>
  <c r="AI51" i="16"/>
  <c r="AI44" i="16" s="1"/>
  <c r="AI45" i="16" s="1"/>
  <c r="AI58" i="17"/>
  <c r="AI50" i="17" s="1"/>
  <c r="AI51" i="17" s="1"/>
  <c r="AM248" i="4"/>
  <c r="AL262" i="4"/>
  <c r="AS56" i="17"/>
  <c r="AT43" i="16"/>
  <c r="AU42" i="16"/>
  <c r="AU46" i="16" s="1"/>
  <c r="AU47" i="16" s="1"/>
  <c r="AV40" i="16"/>
  <c r="L84" i="15"/>
  <c r="M58" i="15"/>
  <c r="M64" i="15"/>
  <c r="J77" i="15"/>
  <c r="J75" i="15"/>
  <c r="J76" i="15"/>
  <c r="K73" i="15"/>
  <c r="K76" i="15" s="1"/>
  <c r="M62" i="15"/>
  <c r="M59" i="15"/>
  <c r="M60" i="15"/>
  <c r="M61" i="15"/>
  <c r="L70" i="15"/>
  <c r="L71" i="15"/>
  <c r="L72" i="15"/>
  <c r="M79" i="15"/>
  <c r="K68" i="13"/>
  <c r="J69" i="13"/>
  <c r="I72" i="13"/>
  <c r="I73" i="13"/>
  <c r="M366" i="4"/>
  <c r="I59" i="12"/>
  <c r="X366" i="4"/>
  <c r="T59" i="12"/>
  <c r="H366" i="4"/>
  <c r="D59" i="12"/>
  <c r="D49" i="12"/>
  <c r="D50" i="12" s="1"/>
  <c r="C50" i="12"/>
  <c r="F13" i="12"/>
  <c r="H13" i="12"/>
  <c r="E18" i="12"/>
  <c r="H12" i="12"/>
  <c r="H17" i="12"/>
  <c r="F17" i="12"/>
  <c r="F16" i="12"/>
  <c r="H16" i="12"/>
  <c r="F15" i="12"/>
  <c r="H15" i="12"/>
  <c r="H14" i="12"/>
  <c r="F14" i="12"/>
  <c r="F12" i="12"/>
  <c r="AQ254" i="4" l="1"/>
  <c r="AP263" i="4"/>
  <c r="AN59" i="21"/>
  <c r="AN59" i="23"/>
  <c r="AN63" i="22"/>
  <c r="AN59" i="18"/>
  <c r="AN64" i="19"/>
  <c r="AN59" i="17"/>
  <c r="AN52" i="16"/>
  <c r="AT49" i="16"/>
  <c r="AT50" i="16" s="1"/>
  <c r="AU293" i="4"/>
  <c r="AU48" i="16"/>
  <c r="AV293" i="4" s="1"/>
  <c r="AV301" i="4"/>
  <c r="M67" i="15"/>
  <c r="M69" i="15" s="1"/>
  <c r="AT62" i="19"/>
  <c r="AV54" i="19"/>
  <c r="AV51" i="19"/>
  <c r="AV55" i="19" s="1"/>
  <c r="AJ58" i="21"/>
  <c r="AJ46" i="21" s="1"/>
  <c r="AJ47" i="21" s="1"/>
  <c r="AJ58" i="23"/>
  <c r="AJ49" i="23" s="1"/>
  <c r="AJ50" i="23" s="1"/>
  <c r="AJ62" i="22"/>
  <c r="AJ50" i="22" s="1"/>
  <c r="AJ51" i="22" s="1"/>
  <c r="AV294" i="4"/>
  <c r="AU61" i="19"/>
  <c r="AV60" i="19"/>
  <c r="AV61" i="19" s="1"/>
  <c r="AJ58" i="18"/>
  <c r="AJ50" i="18" s="1"/>
  <c r="AJ51" i="18" s="1"/>
  <c r="AJ63" i="19"/>
  <c r="AJ56" i="19" s="1"/>
  <c r="AJ57" i="19" s="1"/>
  <c r="AS57" i="17"/>
  <c r="AJ51" i="16"/>
  <c r="AJ44" i="16" s="1"/>
  <c r="AJ45" i="16" s="1"/>
  <c r="AJ58" i="17"/>
  <c r="AJ50" i="17" s="1"/>
  <c r="AJ51" i="17" s="1"/>
  <c r="AN248" i="4"/>
  <c r="AM262" i="4"/>
  <c r="AT56" i="17"/>
  <c r="AU43" i="16"/>
  <c r="AV42" i="16"/>
  <c r="AV46" i="16" s="1"/>
  <c r="AV47" i="16" s="1"/>
  <c r="N83" i="15"/>
  <c r="N64" i="15"/>
  <c r="N79" i="15"/>
  <c r="K77" i="15"/>
  <c r="K75" i="15"/>
  <c r="M82" i="15"/>
  <c r="M83" i="15"/>
  <c r="M84" i="15"/>
  <c r="L73" i="15"/>
  <c r="L75" i="15" s="1"/>
  <c r="N60" i="15"/>
  <c r="N62" i="15"/>
  <c r="N61" i="15"/>
  <c r="N58" i="15"/>
  <c r="N59" i="15"/>
  <c r="M70" i="15"/>
  <c r="M71" i="15"/>
  <c r="M72" i="15"/>
  <c r="J72" i="13"/>
  <c r="J73" i="13"/>
  <c r="L68" i="13"/>
  <c r="K69" i="13"/>
  <c r="I366" i="4"/>
  <c r="F59" i="12" s="1"/>
  <c r="E59" i="12"/>
  <c r="Y366" i="4"/>
  <c r="U59" i="12"/>
  <c r="N366" i="4"/>
  <c r="J59" i="12"/>
  <c r="E49" i="12"/>
  <c r="E50" i="12" s="1"/>
  <c r="H18" i="12"/>
  <c r="C21" i="12" s="1"/>
  <c r="AR254" i="4" l="1"/>
  <c r="AQ263" i="4"/>
  <c r="AO59" i="23"/>
  <c r="AO59" i="21"/>
  <c r="AO63" i="22"/>
  <c r="AO59" i="18"/>
  <c r="AO64" i="19"/>
  <c r="AO59" i="17"/>
  <c r="AO52" i="16"/>
  <c r="AV48" i="16"/>
  <c r="AW293" i="4" s="1"/>
  <c r="AW301" i="4"/>
  <c r="M74" i="15"/>
  <c r="AU62" i="19"/>
  <c r="N67" i="15"/>
  <c r="N69" i="15" s="1"/>
  <c r="AK58" i="21"/>
  <c r="AK46" i="21" s="1"/>
  <c r="AK47" i="21" s="1"/>
  <c r="AK62" i="22"/>
  <c r="AK50" i="22" s="1"/>
  <c r="AK51" i="22" s="1"/>
  <c r="AK58" i="23"/>
  <c r="AK49" i="23" s="1"/>
  <c r="AK50" i="23" s="1"/>
  <c r="AW294" i="4"/>
  <c r="AV62" i="19"/>
  <c r="N71" i="15"/>
  <c r="N70" i="15"/>
  <c r="AK58" i="18"/>
  <c r="AK50" i="18" s="1"/>
  <c r="AK51" i="18" s="1"/>
  <c r="AK63" i="19"/>
  <c r="AK56" i="19" s="1"/>
  <c r="AK57" i="19" s="1"/>
  <c r="N84" i="15"/>
  <c r="F40" i="15" s="1"/>
  <c r="AT57" i="17"/>
  <c r="AK51" i="16"/>
  <c r="AK44" i="16" s="1"/>
  <c r="AK45" i="16" s="1"/>
  <c r="AK58" i="17"/>
  <c r="AK50" i="17" s="1"/>
  <c r="AK51" i="17" s="1"/>
  <c r="AO248" i="4"/>
  <c r="AN262" i="4"/>
  <c r="AU49" i="16"/>
  <c r="AU50" i="16" s="1"/>
  <c r="AU56" i="17"/>
  <c r="AV43" i="16"/>
  <c r="N72" i="15"/>
  <c r="N82" i="15"/>
  <c r="N74" i="15" s="1"/>
  <c r="O64" i="15"/>
  <c r="L77" i="15"/>
  <c r="L76" i="15"/>
  <c r="M73" i="15"/>
  <c r="O59" i="15"/>
  <c r="O62" i="15"/>
  <c r="O61" i="15"/>
  <c r="O60" i="15"/>
  <c r="O58" i="15"/>
  <c r="O79" i="15"/>
  <c r="M68" i="13"/>
  <c r="L69" i="13"/>
  <c r="K72" i="13"/>
  <c r="K73" i="13"/>
  <c r="Z366" i="4"/>
  <c r="V59" i="12"/>
  <c r="O366" i="4"/>
  <c r="K59" i="12"/>
  <c r="E51" i="12"/>
  <c r="E53" i="12" s="1"/>
  <c r="E54" i="12" s="1"/>
  <c r="C51" i="12"/>
  <c r="C52" i="12" s="1"/>
  <c r="D51" i="12"/>
  <c r="F49" i="12"/>
  <c r="F50" i="12" s="1"/>
  <c r="F51" i="12" s="1"/>
  <c r="U15" i="34"/>
  <c r="AS254" i="4" l="1"/>
  <c r="AR263" i="4"/>
  <c r="AP63" i="22"/>
  <c r="AP59" i="23"/>
  <c r="AP59" i="18"/>
  <c r="AP64" i="19"/>
  <c r="AP59" i="21"/>
  <c r="AP52" i="16"/>
  <c r="AP59" i="17"/>
  <c r="O67" i="15"/>
  <c r="O69" i="15" s="1"/>
  <c r="AL58" i="21"/>
  <c r="AL46" i="21" s="1"/>
  <c r="AL47" i="21" s="1"/>
  <c r="AL62" i="22"/>
  <c r="AL50" i="22" s="1"/>
  <c r="AL51" i="22" s="1"/>
  <c r="AL58" i="23"/>
  <c r="AL49" i="23" s="1"/>
  <c r="AL50" i="23" s="1"/>
  <c r="N73" i="15"/>
  <c r="N77" i="15" s="1"/>
  <c r="AL58" i="18"/>
  <c r="AL50" i="18" s="1"/>
  <c r="AL51" i="18" s="1"/>
  <c r="AL63" i="19"/>
  <c r="AL56" i="19" s="1"/>
  <c r="AL57" i="19" s="1"/>
  <c r="AU57" i="17"/>
  <c r="AL58" i="17"/>
  <c r="AL50" i="17" s="1"/>
  <c r="AL51" i="17" s="1"/>
  <c r="AL51" i="16"/>
  <c r="AL44" i="16" s="1"/>
  <c r="AL45" i="16" s="1"/>
  <c r="AP248" i="4"/>
  <c r="AO262" i="4"/>
  <c r="AV49" i="16"/>
  <c r="AV50" i="16" s="1"/>
  <c r="AV56" i="17"/>
  <c r="O84" i="15"/>
  <c r="O83" i="15"/>
  <c r="O82" i="15"/>
  <c r="P64" i="15"/>
  <c r="M77" i="15"/>
  <c r="M75" i="15"/>
  <c r="P59" i="15"/>
  <c r="M76" i="15"/>
  <c r="P60" i="15"/>
  <c r="P62" i="15"/>
  <c r="P61" i="15"/>
  <c r="P58" i="15"/>
  <c r="P79" i="15"/>
  <c r="O71" i="15"/>
  <c r="O72" i="15"/>
  <c r="O70" i="15"/>
  <c r="C53" i="12"/>
  <c r="C54" i="12" s="1"/>
  <c r="L73" i="13"/>
  <c r="L72" i="13"/>
  <c r="N68" i="13"/>
  <c r="M69" i="13"/>
  <c r="AA366" i="4"/>
  <c r="W59" i="12"/>
  <c r="P366" i="4"/>
  <c r="L59" i="12"/>
  <c r="D52" i="12"/>
  <c r="E52" i="12" s="1"/>
  <c r="C57" i="12"/>
  <c r="C55" i="12" s="1"/>
  <c r="G49" i="12"/>
  <c r="G50" i="12" s="1"/>
  <c r="G51" i="12" s="1"/>
  <c r="F53" i="12"/>
  <c r="F54" i="12" s="1"/>
  <c r="D53" i="12"/>
  <c r="D54" i="12" s="1"/>
  <c r="N75" i="15" l="1"/>
  <c r="N76" i="15"/>
  <c r="AT254" i="4"/>
  <c r="AS263" i="4"/>
  <c r="AQ63" i="22"/>
  <c r="AQ59" i="21"/>
  <c r="AQ59" i="18"/>
  <c r="AQ64" i="19"/>
  <c r="AQ59" i="23"/>
  <c r="AQ52" i="16"/>
  <c r="AQ59" i="17"/>
  <c r="C56" i="12"/>
  <c r="O74" i="15"/>
  <c r="P67" i="15"/>
  <c r="P69" i="15" s="1"/>
  <c r="AM58" i="21"/>
  <c r="AM46" i="21" s="1"/>
  <c r="AM47" i="21" s="1"/>
  <c r="AM62" i="22"/>
  <c r="AM50" i="22" s="1"/>
  <c r="AM51" i="22" s="1"/>
  <c r="AM58" i="23"/>
  <c r="AM49" i="23" s="1"/>
  <c r="AM50" i="23" s="1"/>
  <c r="AM58" i="18"/>
  <c r="AM50" i="18" s="1"/>
  <c r="AM51" i="18" s="1"/>
  <c r="AM63" i="19"/>
  <c r="AM56" i="19" s="1"/>
  <c r="AM57" i="19" s="1"/>
  <c r="AV57" i="17"/>
  <c r="AQ248" i="4"/>
  <c r="AP262" i="4"/>
  <c r="AM51" i="16"/>
  <c r="AM44" i="16" s="1"/>
  <c r="AM45" i="16" s="1"/>
  <c r="AM58" i="17"/>
  <c r="AM50" i="17" s="1"/>
  <c r="AM51" i="17" s="1"/>
  <c r="P82" i="15"/>
  <c r="P84" i="15"/>
  <c r="P83" i="15"/>
  <c r="Q64" i="15"/>
  <c r="Q60" i="15"/>
  <c r="Q62" i="15"/>
  <c r="Q59" i="15"/>
  <c r="Q61" i="15"/>
  <c r="P70" i="15"/>
  <c r="O73" i="15"/>
  <c r="Q58" i="15"/>
  <c r="Q79" i="15"/>
  <c r="P72" i="15"/>
  <c r="P71" i="15"/>
  <c r="H49" i="12"/>
  <c r="H50" i="12" s="1"/>
  <c r="H51" i="12" s="1"/>
  <c r="D57" i="12"/>
  <c r="D55" i="12" s="1"/>
  <c r="D56" i="12" s="1"/>
  <c r="C60" i="12"/>
  <c r="O68" i="13"/>
  <c r="N69" i="13"/>
  <c r="M73" i="13"/>
  <c r="M72" i="13"/>
  <c r="Q366" i="4"/>
  <c r="M59" i="12"/>
  <c r="AB366" i="4"/>
  <c r="X59" i="12"/>
  <c r="F52" i="12"/>
  <c r="G53" i="12"/>
  <c r="G54" i="12" s="1"/>
  <c r="AU254" i="4" l="1"/>
  <c r="AT263" i="4"/>
  <c r="AR59" i="21"/>
  <c r="C27" i="21" s="1"/>
  <c r="AR63" i="22"/>
  <c r="C31" i="22" s="1"/>
  <c r="AR59" i="18"/>
  <c r="C30" i="18" s="1"/>
  <c r="AR59" i="23"/>
  <c r="C26" i="23" s="1"/>
  <c r="AR64" i="19"/>
  <c r="C32" i="19" s="1"/>
  <c r="AR52" i="16"/>
  <c r="C29" i="16" s="1"/>
  <c r="AR59" i="17"/>
  <c r="C32" i="17" s="1"/>
  <c r="Q67" i="15"/>
  <c r="Q69" i="15" s="1"/>
  <c r="P74" i="15"/>
  <c r="AN58" i="21"/>
  <c r="AN46" i="21" s="1"/>
  <c r="AN47" i="21" s="1"/>
  <c r="AN62" i="22"/>
  <c r="AN50" i="22" s="1"/>
  <c r="AN51" i="22" s="1"/>
  <c r="AN58" i="23"/>
  <c r="AN49" i="23" s="1"/>
  <c r="AN50" i="23" s="1"/>
  <c r="I49" i="12"/>
  <c r="AN58" i="18"/>
  <c r="AN50" i="18" s="1"/>
  <c r="AN51" i="18" s="1"/>
  <c r="AN63" i="19"/>
  <c r="AN56" i="19" s="1"/>
  <c r="AN57" i="19" s="1"/>
  <c r="AN51" i="16"/>
  <c r="AN44" i="16" s="1"/>
  <c r="AN45" i="16" s="1"/>
  <c r="AN58" i="17"/>
  <c r="AN50" i="17" s="1"/>
  <c r="AN51" i="17" s="1"/>
  <c r="AR248" i="4"/>
  <c r="AQ262" i="4"/>
  <c r="Q83" i="15"/>
  <c r="Q82" i="15"/>
  <c r="Q84" i="15"/>
  <c r="R64" i="15"/>
  <c r="O77" i="15"/>
  <c r="O75" i="15"/>
  <c r="O76" i="15"/>
  <c r="R58" i="15"/>
  <c r="R59" i="15"/>
  <c r="R79" i="15"/>
  <c r="R62" i="15"/>
  <c r="R61" i="15"/>
  <c r="R60" i="15"/>
  <c r="Q70" i="15"/>
  <c r="P73" i="15"/>
  <c r="P76" i="15" s="1"/>
  <c r="Q72" i="15"/>
  <c r="Q71" i="15"/>
  <c r="E57" i="12"/>
  <c r="E55" i="12" s="1"/>
  <c r="E56" i="12" s="1"/>
  <c r="D60" i="12"/>
  <c r="N73" i="13"/>
  <c r="N72" i="13"/>
  <c r="P68" i="13"/>
  <c r="O69" i="13"/>
  <c r="AC366" i="4"/>
  <c r="Z59" i="12" s="1"/>
  <c r="Y59" i="12"/>
  <c r="R366" i="4"/>
  <c r="N59" i="12"/>
  <c r="G52" i="12"/>
  <c r="H53" i="12"/>
  <c r="H54" i="12" s="1"/>
  <c r="H24" i="34"/>
  <c r="H20" i="34"/>
  <c r="H18" i="34"/>
  <c r="H23" i="34"/>
  <c r="H19" i="34"/>
  <c r="H16" i="34"/>
  <c r="H21" i="34"/>
  <c r="AV254" i="4" l="1"/>
  <c r="AU263" i="4"/>
  <c r="AS63" i="22"/>
  <c r="AS59" i="23"/>
  <c r="AS59" i="21"/>
  <c r="AS59" i="18"/>
  <c r="AS64" i="19"/>
  <c r="AS52" i="16"/>
  <c r="AS59" i="17"/>
  <c r="I50" i="12"/>
  <c r="I51" i="12" s="1"/>
  <c r="I53" i="12" s="1"/>
  <c r="I54" i="12" s="1"/>
  <c r="J49" i="12"/>
  <c r="Q74" i="15"/>
  <c r="R67" i="15"/>
  <c r="R69" i="15" s="1"/>
  <c r="AO58" i="21"/>
  <c r="AO46" i="21" s="1"/>
  <c r="AO47" i="21" s="1"/>
  <c r="AO58" i="23"/>
  <c r="AO49" i="23" s="1"/>
  <c r="AO50" i="23" s="1"/>
  <c r="AO62" i="22"/>
  <c r="AO50" i="22" s="1"/>
  <c r="AO51" i="22" s="1"/>
  <c r="AO58" i="18"/>
  <c r="AO50" i="18" s="1"/>
  <c r="AO51" i="18" s="1"/>
  <c r="AO63" i="19"/>
  <c r="AO56" i="19" s="1"/>
  <c r="AO57" i="19" s="1"/>
  <c r="R84" i="15"/>
  <c r="R82" i="15"/>
  <c r="AO51" i="16"/>
  <c r="AO44" i="16" s="1"/>
  <c r="AO45" i="16" s="1"/>
  <c r="AO58" i="17"/>
  <c r="AO50" i="17" s="1"/>
  <c r="AO51" i="17" s="1"/>
  <c r="AS248" i="4"/>
  <c r="AR262" i="4"/>
  <c r="R83" i="15"/>
  <c r="S64" i="15"/>
  <c r="S60" i="15"/>
  <c r="S62" i="15"/>
  <c r="S61" i="15"/>
  <c r="S58" i="15"/>
  <c r="P77" i="15"/>
  <c r="P75" i="15"/>
  <c r="Q73" i="15"/>
  <c r="S59" i="15"/>
  <c r="S79" i="15"/>
  <c r="R72" i="15"/>
  <c r="R71" i="15"/>
  <c r="R70" i="15"/>
  <c r="F57" i="12"/>
  <c r="F55" i="12" s="1"/>
  <c r="F56" i="12" s="1"/>
  <c r="E60" i="12"/>
  <c r="O72" i="13"/>
  <c r="O73" i="13"/>
  <c r="Q68" i="13"/>
  <c r="P69" i="13"/>
  <c r="S366" i="4"/>
  <c r="P59" i="12" s="1"/>
  <c r="O59" i="12"/>
  <c r="H52" i="12"/>
  <c r="AW254" i="4" l="1"/>
  <c r="AV263" i="4"/>
  <c r="AT63" i="22"/>
  <c r="AT59" i="21"/>
  <c r="AT59" i="23"/>
  <c r="AT59" i="18"/>
  <c r="AT64" i="19"/>
  <c r="AT59" i="17"/>
  <c r="AT52" i="16"/>
  <c r="J50" i="12"/>
  <c r="J51" i="12" s="1"/>
  <c r="J53" i="12" s="1"/>
  <c r="J54" i="12" s="1"/>
  <c r="K49" i="12"/>
  <c r="R74" i="15"/>
  <c r="S67" i="15"/>
  <c r="S69" i="15" s="1"/>
  <c r="AP58" i="21"/>
  <c r="AP46" i="21" s="1"/>
  <c r="AP47" i="21" s="1"/>
  <c r="AP62" i="22"/>
  <c r="AP50" i="22" s="1"/>
  <c r="AP51" i="22" s="1"/>
  <c r="AP58" i="23"/>
  <c r="AP49" i="23" s="1"/>
  <c r="AP50" i="23" s="1"/>
  <c r="AP58" i="18"/>
  <c r="AP50" i="18" s="1"/>
  <c r="AP51" i="18" s="1"/>
  <c r="AP63" i="19"/>
  <c r="AP56" i="19" s="1"/>
  <c r="AP57" i="19" s="1"/>
  <c r="S84" i="15"/>
  <c r="F41" i="15" s="1"/>
  <c r="S83" i="15"/>
  <c r="AP51" i="16"/>
  <c r="AP44" i="16" s="1"/>
  <c r="AP45" i="16" s="1"/>
  <c r="AP58" i="17"/>
  <c r="AP50" i="17" s="1"/>
  <c r="AP51" i="17" s="1"/>
  <c r="AT248" i="4"/>
  <c r="AS262" i="4"/>
  <c r="S82" i="15"/>
  <c r="T64" i="15"/>
  <c r="R73" i="15"/>
  <c r="R77" i="15" s="1"/>
  <c r="Q77" i="15"/>
  <c r="Q75" i="15"/>
  <c r="Q76" i="15"/>
  <c r="S70" i="15"/>
  <c r="T60" i="15"/>
  <c r="T79" i="15"/>
  <c r="T58" i="15"/>
  <c r="S71" i="15"/>
  <c r="S72" i="15"/>
  <c r="T61" i="15"/>
  <c r="T62" i="15"/>
  <c r="T59" i="15"/>
  <c r="F60" i="12"/>
  <c r="G57" i="12"/>
  <c r="G55" i="12" s="1"/>
  <c r="G56" i="12" s="1"/>
  <c r="P73" i="13"/>
  <c r="P72" i="13"/>
  <c r="R68" i="13"/>
  <c r="Q69" i="13"/>
  <c r="I52" i="12"/>
  <c r="V15" i="34"/>
  <c r="K50" i="12" l="1"/>
  <c r="K51" i="12" s="1"/>
  <c r="K53" i="12" s="1"/>
  <c r="K54" i="12" s="1"/>
  <c r="L49" i="12"/>
  <c r="AX254" i="4"/>
  <c r="AX263" i="4" s="1"/>
  <c r="AW263" i="4"/>
  <c r="AU59" i="18"/>
  <c r="AU59" i="21"/>
  <c r="AU59" i="23"/>
  <c r="AU64" i="19"/>
  <c r="AU63" i="22"/>
  <c r="AU59" i="17"/>
  <c r="AU52" i="16"/>
  <c r="S74" i="15"/>
  <c r="T67" i="15"/>
  <c r="T69" i="15" s="1"/>
  <c r="AQ58" i="21"/>
  <c r="AQ46" i="21" s="1"/>
  <c r="AQ47" i="21" s="1"/>
  <c r="AQ62" i="22"/>
  <c r="AQ50" i="22" s="1"/>
  <c r="AQ51" i="22" s="1"/>
  <c r="AQ58" i="23"/>
  <c r="AQ49" i="23" s="1"/>
  <c r="AQ50" i="23" s="1"/>
  <c r="AQ58" i="18"/>
  <c r="AQ50" i="18" s="1"/>
  <c r="AQ51" i="18" s="1"/>
  <c r="AQ63" i="19"/>
  <c r="AQ56" i="19" s="1"/>
  <c r="AQ57" i="19" s="1"/>
  <c r="T84" i="15"/>
  <c r="T82" i="15"/>
  <c r="AQ51" i="16"/>
  <c r="AQ44" i="16" s="1"/>
  <c r="AQ45" i="16" s="1"/>
  <c r="AQ58" i="17"/>
  <c r="AQ50" i="17" s="1"/>
  <c r="AQ51" i="17" s="1"/>
  <c r="AU248" i="4"/>
  <c r="AT262" i="4"/>
  <c r="T83" i="15"/>
  <c r="S73" i="15"/>
  <c r="S76" i="15" s="1"/>
  <c r="U64" i="15"/>
  <c r="R76" i="15"/>
  <c r="R75" i="15"/>
  <c r="U60" i="15"/>
  <c r="U61" i="15"/>
  <c r="U62" i="15"/>
  <c r="U58" i="15"/>
  <c r="U59" i="15"/>
  <c r="T71" i="15"/>
  <c r="U79" i="15"/>
  <c r="T72" i="15"/>
  <c r="T70" i="15"/>
  <c r="H57" i="12"/>
  <c r="H55" i="12" s="1"/>
  <c r="H56" i="12" s="1"/>
  <c r="G60" i="12"/>
  <c r="F34" i="12" s="1"/>
  <c r="Q72" i="13"/>
  <c r="Q73" i="13"/>
  <c r="R69" i="13"/>
  <c r="S68" i="13"/>
  <c r="J52" i="12"/>
  <c r="T6" i="34"/>
  <c r="L50" i="12" l="1"/>
  <c r="L51" i="12" s="1"/>
  <c r="M49" i="12"/>
  <c r="AV63" i="22"/>
  <c r="AV59" i="23"/>
  <c r="AV59" i="21"/>
  <c r="AV59" i="18"/>
  <c r="AV64" i="19"/>
  <c r="AV52" i="16"/>
  <c r="AV59" i="17"/>
  <c r="U67" i="15"/>
  <c r="U69" i="15" s="1"/>
  <c r="T74" i="15"/>
  <c r="AR58" i="21"/>
  <c r="AR46" i="21" s="1"/>
  <c r="AR47" i="21" s="1"/>
  <c r="AR62" i="22"/>
  <c r="AR50" i="22" s="1"/>
  <c r="AR51" i="22" s="1"/>
  <c r="AR58" i="23"/>
  <c r="AR49" i="23" s="1"/>
  <c r="AR50" i="23" s="1"/>
  <c r="S75" i="15"/>
  <c r="S77" i="15"/>
  <c r="AR58" i="18"/>
  <c r="AR50" i="18" s="1"/>
  <c r="AR51" i="18" s="1"/>
  <c r="AR63" i="19"/>
  <c r="AR56" i="19" s="1"/>
  <c r="AR57" i="19" s="1"/>
  <c r="AR51" i="16"/>
  <c r="AR44" i="16" s="1"/>
  <c r="AR45" i="16" s="1"/>
  <c r="AR58" i="17"/>
  <c r="AR50" i="17" s="1"/>
  <c r="AR51" i="17" s="1"/>
  <c r="AV248" i="4"/>
  <c r="AU262" i="4"/>
  <c r="U84" i="15"/>
  <c r="U83" i="15"/>
  <c r="T73" i="15"/>
  <c r="T77" i="15" s="1"/>
  <c r="V64" i="15"/>
  <c r="U82" i="15"/>
  <c r="V62" i="15"/>
  <c r="V59" i="15"/>
  <c r="U71" i="15"/>
  <c r="V60" i="15"/>
  <c r="U72" i="15"/>
  <c r="U70" i="15"/>
  <c r="V58" i="15"/>
  <c r="V79" i="15"/>
  <c r="V61" i="15"/>
  <c r="H60" i="12"/>
  <c r="I57" i="12"/>
  <c r="I55" i="12" s="1"/>
  <c r="I56" i="12" s="1"/>
  <c r="S69" i="13"/>
  <c r="T68" i="13"/>
  <c r="R72" i="13"/>
  <c r="R73" i="13"/>
  <c r="K52" i="12"/>
  <c r="L53" i="12"/>
  <c r="L54" i="12" s="1"/>
  <c r="M50" i="12" l="1"/>
  <c r="M51" i="12" s="1"/>
  <c r="M53" i="12" s="1"/>
  <c r="M54" i="12" s="1"/>
  <c r="N49" i="12"/>
  <c r="V67" i="15"/>
  <c r="V69" i="15" s="1"/>
  <c r="U74" i="15"/>
  <c r="AS58" i="21"/>
  <c r="AS46" i="21" s="1"/>
  <c r="AS47" i="21" s="1"/>
  <c r="AS58" i="23"/>
  <c r="AS49" i="23" s="1"/>
  <c r="AS50" i="23" s="1"/>
  <c r="AS62" i="22"/>
  <c r="AS50" i="22" s="1"/>
  <c r="AS51" i="22" s="1"/>
  <c r="AS58" i="18"/>
  <c r="AS50" i="18" s="1"/>
  <c r="AS51" i="18" s="1"/>
  <c r="AS63" i="19"/>
  <c r="AS56" i="19" s="1"/>
  <c r="AS57" i="19" s="1"/>
  <c r="AS58" i="17"/>
  <c r="AS50" i="17" s="1"/>
  <c r="AS51" i="17" s="1"/>
  <c r="AS51" i="16"/>
  <c r="AS44" i="16" s="1"/>
  <c r="AS45" i="16" s="1"/>
  <c r="AW248" i="4"/>
  <c r="AV262" i="4"/>
  <c r="T75" i="15"/>
  <c r="V82" i="15"/>
  <c r="V83" i="15"/>
  <c r="T76" i="15"/>
  <c r="U73" i="15"/>
  <c r="U76" i="15" s="1"/>
  <c r="V84" i="15"/>
  <c r="W64" i="15"/>
  <c r="W59" i="15"/>
  <c r="W61" i="15"/>
  <c r="W60" i="15"/>
  <c r="V72" i="15"/>
  <c r="W62" i="15"/>
  <c r="W58" i="15"/>
  <c r="W79" i="15"/>
  <c r="V71" i="15"/>
  <c r="V70" i="15"/>
  <c r="X61" i="15"/>
  <c r="X59" i="15"/>
  <c r="X58" i="15"/>
  <c r="X60" i="15"/>
  <c r="X62" i="15"/>
  <c r="I60" i="12"/>
  <c r="J57" i="12"/>
  <c r="J55" i="12" s="1"/>
  <c r="J56" i="12" s="1"/>
  <c r="S72" i="13"/>
  <c r="S73" i="13"/>
  <c r="T69" i="13"/>
  <c r="U68" i="13"/>
  <c r="L52" i="12"/>
  <c r="N50" i="12" l="1"/>
  <c r="N51" i="12" s="1"/>
  <c r="N53" i="12" s="1"/>
  <c r="N54" i="12" s="1"/>
  <c r="O49" i="12"/>
  <c r="W67" i="15"/>
  <c r="V74" i="15"/>
  <c r="X67" i="15"/>
  <c r="AT58" i="21"/>
  <c r="AT46" i="21" s="1"/>
  <c r="AT47" i="21" s="1"/>
  <c r="AT58" i="23"/>
  <c r="AT49" i="23" s="1"/>
  <c r="AT50" i="23" s="1"/>
  <c r="AT62" i="22"/>
  <c r="AT50" i="22" s="1"/>
  <c r="AT51" i="22" s="1"/>
  <c r="U75" i="15"/>
  <c r="U77" i="15"/>
  <c r="AT58" i="18"/>
  <c r="AT50" i="18" s="1"/>
  <c r="AT51" i="18" s="1"/>
  <c r="AT63" i="19"/>
  <c r="AT56" i="19" s="1"/>
  <c r="AT57" i="19" s="1"/>
  <c r="W82" i="15"/>
  <c r="W83" i="15"/>
  <c r="AT51" i="16"/>
  <c r="AT44" i="16" s="1"/>
  <c r="AT45" i="16" s="1"/>
  <c r="AT58" i="17"/>
  <c r="AT50" i="17" s="1"/>
  <c r="AT51" i="17" s="1"/>
  <c r="AX248" i="4"/>
  <c r="AW262" i="4"/>
  <c r="W84" i="15"/>
  <c r="Y64" i="15"/>
  <c r="X64" i="15"/>
  <c r="W69" i="15"/>
  <c r="V73" i="15"/>
  <c r="V77" i="15" s="1"/>
  <c r="W71" i="15"/>
  <c r="W72" i="15"/>
  <c r="W70" i="15"/>
  <c r="X79" i="15"/>
  <c r="Y79" i="15"/>
  <c r="Y60" i="15"/>
  <c r="Y59" i="15"/>
  <c r="Y58" i="15"/>
  <c r="Y62" i="15"/>
  <c r="Y61" i="15"/>
  <c r="J60" i="12"/>
  <c r="K57" i="12"/>
  <c r="K55" i="12" s="1"/>
  <c r="K56" i="12" s="1"/>
  <c r="T72" i="13"/>
  <c r="T73" i="13"/>
  <c r="U69" i="13"/>
  <c r="V68" i="13"/>
  <c r="M52" i="12"/>
  <c r="O50" i="12" l="1"/>
  <c r="O51" i="12" s="1"/>
  <c r="O53" i="12" s="1"/>
  <c r="O54" i="12" s="1"/>
  <c r="P49" i="12"/>
  <c r="W74" i="15"/>
  <c r="Y67" i="15"/>
  <c r="Y69" i="15" s="1"/>
  <c r="AU58" i="21"/>
  <c r="AU46" i="21" s="1"/>
  <c r="AU47" i="21" s="1"/>
  <c r="AU62" i="22"/>
  <c r="AU50" i="22" s="1"/>
  <c r="AU51" i="22" s="1"/>
  <c r="AU58" i="23"/>
  <c r="AU49" i="23" s="1"/>
  <c r="AU50" i="23" s="1"/>
  <c r="W73" i="15"/>
  <c r="W77" i="15" s="1"/>
  <c r="AU58" i="18"/>
  <c r="AU50" i="18" s="1"/>
  <c r="AU51" i="18" s="1"/>
  <c r="AU63" i="19"/>
  <c r="AU56" i="19" s="1"/>
  <c r="AU57" i="19" s="1"/>
  <c r="X83" i="15"/>
  <c r="AU51" i="16"/>
  <c r="AU44" i="16" s="1"/>
  <c r="AU45" i="16" s="1"/>
  <c r="AU58" i="17"/>
  <c r="AU50" i="17" s="1"/>
  <c r="AU51" i="17" s="1"/>
  <c r="AX262" i="4"/>
  <c r="X82" i="15"/>
  <c r="Y84" i="15"/>
  <c r="X84" i="15"/>
  <c r="F42" i="15" s="1"/>
  <c r="X69" i="15"/>
  <c r="Z64" i="15"/>
  <c r="V75" i="15"/>
  <c r="Y83" i="15"/>
  <c r="Y82" i="15"/>
  <c r="V76" i="15"/>
  <c r="X71" i="15"/>
  <c r="X72" i="15"/>
  <c r="X70" i="15"/>
  <c r="Y70" i="15"/>
  <c r="Y72" i="15"/>
  <c r="Y71" i="15"/>
  <c r="Z79" i="15"/>
  <c r="Z61" i="15"/>
  <c r="Z60" i="15"/>
  <c r="Z59" i="15"/>
  <c r="Z58" i="15"/>
  <c r="Z62" i="15"/>
  <c r="K60" i="12"/>
  <c r="L57" i="12"/>
  <c r="L55" i="12" s="1"/>
  <c r="L56" i="12" s="1"/>
  <c r="W68" i="13"/>
  <c r="V69" i="13"/>
  <c r="U72" i="13"/>
  <c r="U73" i="13"/>
  <c r="N52" i="12"/>
  <c r="W15" i="34"/>
  <c r="P50" i="12" l="1"/>
  <c r="P51" i="12" s="1"/>
  <c r="Q49" i="12"/>
  <c r="Q50" i="12" s="1"/>
  <c r="Q51" i="12" s="1"/>
  <c r="W76" i="15"/>
  <c r="W75" i="15"/>
  <c r="X74" i="15"/>
  <c r="Y74" i="15"/>
  <c r="Z67" i="15"/>
  <c r="Z69" i="15" s="1"/>
  <c r="AV58" i="21"/>
  <c r="AV46" i="21" s="1"/>
  <c r="AV47" i="21" s="1"/>
  <c r="C29" i="21" s="1"/>
  <c r="AV58" i="23"/>
  <c r="AV49" i="23" s="1"/>
  <c r="AV50" i="23" s="1"/>
  <c r="C28" i="23" s="1"/>
  <c r="AV62" i="22"/>
  <c r="AV50" i="22" s="1"/>
  <c r="AV51" i="22" s="1"/>
  <c r="C33" i="22" s="1"/>
  <c r="X73" i="15"/>
  <c r="X76" i="15" s="1"/>
  <c r="AV58" i="18"/>
  <c r="AV50" i="18" s="1"/>
  <c r="AV51" i="18" s="1"/>
  <c r="C32" i="18" s="1"/>
  <c r="AV63" i="19"/>
  <c r="AV56" i="19" s="1"/>
  <c r="AV57" i="19" s="1"/>
  <c r="C34" i="19" s="1"/>
  <c r="Z82" i="15"/>
  <c r="AV51" i="16"/>
  <c r="AV44" i="16" s="1"/>
  <c r="AV45" i="16" s="1"/>
  <c r="C31" i="16" s="1"/>
  <c r="AV58" i="17"/>
  <c r="AV50" i="17" s="1"/>
  <c r="AV51" i="17" s="1"/>
  <c r="C34" i="17" s="1"/>
  <c r="Z83" i="15"/>
  <c r="Z84" i="15"/>
  <c r="AA64" i="15"/>
  <c r="Y73" i="15"/>
  <c r="Z70" i="15"/>
  <c r="Z71" i="15"/>
  <c r="Z72" i="15"/>
  <c r="AA79" i="15"/>
  <c r="AA62" i="15"/>
  <c r="AA60" i="15"/>
  <c r="AA61" i="15"/>
  <c r="AA59" i="15"/>
  <c r="AA58" i="15"/>
  <c r="L60" i="12"/>
  <c r="F35" i="12" s="1"/>
  <c r="M57" i="12"/>
  <c r="M55" i="12" s="1"/>
  <c r="M56" i="12" s="1"/>
  <c r="V72" i="13"/>
  <c r="V73" i="13"/>
  <c r="X68" i="13"/>
  <c r="W69" i="13"/>
  <c r="O52" i="12"/>
  <c r="P53" i="12"/>
  <c r="P54" i="12" s="1"/>
  <c r="R49" i="12"/>
  <c r="R50" i="12" s="1"/>
  <c r="R51" i="12" s="1"/>
  <c r="I23" i="34"/>
  <c r="J24" i="34"/>
  <c r="J19" i="34"/>
  <c r="I16" i="34"/>
  <c r="I24" i="34"/>
  <c r="I19" i="34"/>
  <c r="J18" i="34"/>
  <c r="I21" i="34"/>
  <c r="I20" i="34"/>
  <c r="I18" i="34"/>
  <c r="U6" i="34"/>
  <c r="J20" i="34"/>
  <c r="J16" i="34"/>
  <c r="J21" i="34"/>
  <c r="J23" i="34"/>
  <c r="X77" i="15" l="1"/>
  <c r="AA67" i="15"/>
  <c r="AA69" i="15" s="1"/>
  <c r="X75" i="15"/>
  <c r="Z74" i="15"/>
  <c r="AA84" i="15"/>
  <c r="AA83" i="15"/>
  <c r="AA82" i="15"/>
  <c r="AB83" i="15"/>
  <c r="AB64" i="15"/>
  <c r="Y77" i="15"/>
  <c r="Y75" i="15"/>
  <c r="Y76" i="15"/>
  <c r="AB84" i="15"/>
  <c r="Z73" i="15"/>
  <c r="Z76" i="15" s="1"/>
  <c r="AA70" i="15"/>
  <c r="AA71" i="15"/>
  <c r="AA72" i="15"/>
  <c r="AB79" i="15"/>
  <c r="AB61" i="15"/>
  <c r="AB62" i="15"/>
  <c r="AB60" i="15"/>
  <c r="AB59" i="15"/>
  <c r="AB58" i="15"/>
  <c r="N57" i="12"/>
  <c r="N55" i="12" s="1"/>
  <c r="N56" i="12" s="1"/>
  <c r="M60" i="12"/>
  <c r="W72" i="13"/>
  <c r="W73" i="13"/>
  <c r="Y68" i="13"/>
  <c r="X69" i="13"/>
  <c r="P52" i="12"/>
  <c r="Q53" i="12"/>
  <c r="Q54" i="12" s="1"/>
  <c r="S49" i="12"/>
  <c r="S50" i="12" s="1"/>
  <c r="S51" i="12" s="1"/>
  <c r="AB67" i="15" l="1"/>
  <c r="AB69" i="15" s="1"/>
  <c r="C39" i="15" s="1"/>
  <c r="AA74" i="15"/>
  <c r="AB82" i="15"/>
  <c r="AB74" i="15" s="1"/>
  <c r="AC64" i="15"/>
  <c r="AC83" i="15"/>
  <c r="C44" i="15" s="1"/>
  <c r="Z77" i="15"/>
  <c r="Z75" i="15"/>
  <c r="AA73" i="15"/>
  <c r="AB70" i="15"/>
  <c r="AB71" i="15"/>
  <c r="AB72" i="15"/>
  <c r="AC79" i="15"/>
  <c r="AC62" i="15"/>
  <c r="AC59" i="15"/>
  <c r="AC61" i="15"/>
  <c r="AC60" i="15"/>
  <c r="AC58" i="15"/>
  <c r="N60" i="12"/>
  <c r="O57" i="12"/>
  <c r="O55" i="12" s="1"/>
  <c r="O56" i="12" s="1"/>
  <c r="X72" i="13"/>
  <c r="X73" i="13"/>
  <c r="Z68" i="13"/>
  <c r="Y69" i="13"/>
  <c r="Q52" i="12"/>
  <c r="R53" i="12"/>
  <c r="R54" i="12" s="1"/>
  <c r="T49" i="12"/>
  <c r="T50" i="12" s="1"/>
  <c r="T51" i="12" s="1"/>
  <c r="D15" i="34"/>
  <c r="C40" i="15" l="1"/>
  <c r="AC67" i="15"/>
  <c r="AC69" i="15" s="1"/>
  <c r="AC82" i="15"/>
  <c r="AC74" i="15" s="1"/>
  <c r="AC84" i="15"/>
  <c r="F43" i="15" s="1"/>
  <c r="AD64" i="15"/>
  <c r="AD83" i="15"/>
  <c r="AA77" i="15"/>
  <c r="AA75" i="15"/>
  <c r="AA76" i="15"/>
  <c r="AD84" i="15"/>
  <c r="AB73" i="15"/>
  <c r="AC70" i="15"/>
  <c r="AC71" i="15"/>
  <c r="AC72" i="15"/>
  <c r="AD79" i="15"/>
  <c r="AD62" i="15"/>
  <c r="AD61" i="15"/>
  <c r="AD60" i="15"/>
  <c r="AD59" i="15"/>
  <c r="AD58" i="15"/>
  <c r="O60" i="12"/>
  <c r="P57" i="12"/>
  <c r="P55" i="12" s="1"/>
  <c r="P56" i="12" s="1"/>
  <c r="Y72" i="13"/>
  <c r="Y73" i="13"/>
  <c r="Z69" i="13"/>
  <c r="AA68" i="13"/>
  <c r="R52" i="12"/>
  <c r="S53" i="12"/>
  <c r="S54" i="12" s="1"/>
  <c r="U49" i="12"/>
  <c r="U50" i="12" s="1"/>
  <c r="U51" i="12" s="1"/>
  <c r="E15" i="34"/>
  <c r="X15" i="34"/>
  <c r="AD67" i="15" l="1"/>
  <c r="AD69" i="15" s="1"/>
  <c r="AD82" i="15"/>
  <c r="AD74" i="15" s="1"/>
  <c r="AE64" i="15"/>
  <c r="AE82" i="15"/>
  <c r="AB77" i="15"/>
  <c r="AB75" i="15"/>
  <c r="AB76" i="15"/>
  <c r="AC73" i="15"/>
  <c r="AC76" i="15" s="1"/>
  <c r="AD70" i="15"/>
  <c r="AD71" i="15"/>
  <c r="AD72" i="15"/>
  <c r="AE79" i="15"/>
  <c r="AE61" i="15"/>
  <c r="AE59" i="15"/>
  <c r="AE62" i="15"/>
  <c r="AE60" i="15"/>
  <c r="AE58" i="15"/>
  <c r="P60" i="12"/>
  <c r="Q57" i="12"/>
  <c r="Q55" i="12" s="1"/>
  <c r="Q56" i="12" s="1"/>
  <c r="AB68" i="13"/>
  <c r="AA69" i="13"/>
  <c r="Z72" i="13"/>
  <c r="Z73" i="13"/>
  <c r="S52" i="12"/>
  <c r="T53" i="12"/>
  <c r="T54" i="12" s="1"/>
  <c r="V49" i="12"/>
  <c r="V50" i="12" s="1"/>
  <c r="V51" i="12" s="1"/>
  <c r="C42" i="15" l="1"/>
  <c r="AE67" i="15"/>
  <c r="AE69" i="15" s="1"/>
  <c r="AE84" i="15"/>
  <c r="AE83" i="15"/>
  <c r="AE74" i="15" s="1"/>
  <c r="AF84" i="15"/>
  <c r="AF64" i="15"/>
  <c r="AC77" i="15"/>
  <c r="AC75" i="15"/>
  <c r="C41" i="15" s="1"/>
  <c r="AD73" i="15"/>
  <c r="AE70" i="15"/>
  <c r="AE72" i="15"/>
  <c r="AE71" i="15"/>
  <c r="AF79" i="15"/>
  <c r="AF62" i="15"/>
  <c r="AF60" i="15"/>
  <c r="AF61" i="15"/>
  <c r="AF59" i="15"/>
  <c r="AF58" i="15"/>
  <c r="Q60" i="12"/>
  <c r="F36" i="12" s="1"/>
  <c r="R57" i="12"/>
  <c r="R55" i="12" s="1"/>
  <c r="R56" i="12" s="1"/>
  <c r="AA72" i="13"/>
  <c r="AA73" i="13"/>
  <c r="AC68" i="13"/>
  <c r="AB69" i="13"/>
  <c r="T52" i="12"/>
  <c r="U53" i="12"/>
  <c r="U54" i="12" s="1"/>
  <c r="W49" i="12"/>
  <c r="W50" i="12" s="1"/>
  <c r="W51" i="12" s="1"/>
  <c r="V6" i="34"/>
  <c r="G15" i="34"/>
  <c r="F15" i="34"/>
  <c r="AF67" i="15" l="1"/>
  <c r="AF69" i="15" s="1"/>
  <c r="AF83" i="15"/>
  <c r="AF82" i="15"/>
  <c r="AG84" i="15"/>
  <c r="AG64" i="15"/>
  <c r="AD77" i="15"/>
  <c r="AD75" i="15"/>
  <c r="AD76" i="15"/>
  <c r="AE73" i="15"/>
  <c r="AF70" i="15"/>
  <c r="AF71" i="15"/>
  <c r="AF72" i="15"/>
  <c r="AG79" i="15"/>
  <c r="AG62" i="15"/>
  <c r="AG60" i="15"/>
  <c r="AG59" i="15"/>
  <c r="AG58" i="15"/>
  <c r="AG61" i="15"/>
  <c r="R60" i="12"/>
  <c r="S57" i="12"/>
  <c r="S55" i="12" s="1"/>
  <c r="S56" i="12" s="1"/>
  <c r="AD68" i="13"/>
  <c r="AC69" i="13"/>
  <c r="AB73" i="13"/>
  <c r="AB72" i="13"/>
  <c r="U52" i="12"/>
  <c r="V53" i="12"/>
  <c r="V54" i="12" s="1"/>
  <c r="X49" i="12"/>
  <c r="X50" i="12" s="1"/>
  <c r="X51" i="12" s="1"/>
  <c r="AF74" i="15" l="1"/>
  <c r="AG67" i="15"/>
  <c r="AG69" i="15" s="1"/>
  <c r="AG82" i="15"/>
  <c r="AG83" i="15"/>
  <c r="AH83" i="15"/>
  <c r="AH64" i="15"/>
  <c r="AE77" i="15"/>
  <c r="AE75" i="15"/>
  <c r="AE76" i="15"/>
  <c r="AF73" i="15"/>
  <c r="AF76" i="15" s="1"/>
  <c r="AG70" i="15"/>
  <c r="AG71" i="15"/>
  <c r="AG72" i="15"/>
  <c r="AH79" i="15"/>
  <c r="AH61" i="15"/>
  <c r="AH60" i="15"/>
  <c r="AH62" i="15"/>
  <c r="AH59" i="15"/>
  <c r="AH58" i="15"/>
  <c r="S60" i="12"/>
  <c r="T57" i="12"/>
  <c r="T55" i="12" s="1"/>
  <c r="T56" i="12" s="1"/>
  <c r="AC73" i="13"/>
  <c r="AC72" i="13"/>
  <c r="AE68" i="13"/>
  <c r="AD69" i="13"/>
  <c r="V52" i="12"/>
  <c r="W53" i="12"/>
  <c r="W54" i="12" s="1"/>
  <c r="Y49" i="12"/>
  <c r="Y50" i="12" s="1"/>
  <c r="Y51" i="12" s="1"/>
  <c r="AG74" i="15" l="1"/>
  <c r="AH67" i="15"/>
  <c r="AH69" i="15" s="1"/>
  <c r="AH82" i="15"/>
  <c r="AH74" i="15" s="1"/>
  <c r="AH84" i="15"/>
  <c r="AI84" i="15"/>
  <c r="AI64" i="15"/>
  <c r="AF77" i="15"/>
  <c r="AF75" i="15"/>
  <c r="AG73" i="15"/>
  <c r="AG76" i="15" s="1"/>
  <c r="AH70" i="15"/>
  <c r="AH71" i="15"/>
  <c r="AH72" i="15"/>
  <c r="AI79" i="15"/>
  <c r="AI62" i="15"/>
  <c r="AI61" i="15"/>
  <c r="AI58" i="15"/>
  <c r="AI60" i="15"/>
  <c r="AI59" i="15"/>
  <c r="T60" i="12"/>
  <c r="U57" i="12"/>
  <c r="U55" i="12" s="1"/>
  <c r="U56" i="12" s="1"/>
  <c r="AD73" i="13"/>
  <c r="AD72" i="13"/>
  <c r="AF68" i="13"/>
  <c r="AE69" i="13"/>
  <c r="W52" i="12"/>
  <c r="X53" i="12"/>
  <c r="X54" i="12" s="1"/>
  <c r="Z49" i="12"/>
  <c r="Z50" i="12" s="1"/>
  <c r="Z51" i="12" s="1"/>
  <c r="AI67" i="15" l="1"/>
  <c r="AI69" i="15" s="1"/>
  <c r="AI82" i="15"/>
  <c r="AI83" i="15"/>
  <c r="AJ83" i="15"/>
  <c r="AJ64" i="15"/>
  <c r="AG77" i="15"/>
  <c r="AG75" i="15"/>
  <c r="AH73" i="15"/>
  <c r="AI70" i="15"/>
  <c r="AI71" i="15"/>
  <c r="AI72" i="15"/>
  <c r="AJ79" i="15"/>
  <c r="AJ62" i="15"/>
  <c r="AJ61" i="15"/>
  <c r="AJ59" i="15"/>
  <c r="AJ58" i="15"/>
  <c r="AJ60" i="15"/>
  <c r="U60" i="12"/>
  <c r="V57" i="12"/>
  <c r="V55" i="12" s="1"/>
  <c r="V56" i="12" s="1"/>
  <c r="AE72" i="13"/>
  <c r="AE73" i="13"/>
  <c r="AG68" i="13"/>
  <c r="AF69" i="13"/>
  <c r="X52" i="12"/>
  <c r="Y53" i="12"/>
  <c r="Y54" i="12" s="1"/>
  <c r="AA49" i="12"/>
  <c r="AA50" i="12" s="1"/>
  <c r="AA51" i="12" s="1"/>
  <c r="AI74" i="15" l="1"/>
  <c r="AJ67" i="15"/>
  <c r="AJ69" i="15" s="1"/>
  <c r="AJ82" i="15"/>
  <c r="AJ74" i="15" s="1"/>
  <c r="AJ84" i="15"/>
  <c r="AK83" i="15"/>
  <c r="AK64" i="15"/>
  <c r="AH77" i="15"/>
  <c r="AH75" i="15"/>
  <c r="AH76" i="15"/>
  <c r="AI73" i="15"/>
  <c r="AJ70" i="15"/>
  <c r="AJ71" i="15"/>
  <c r="AJ72" i="15"/>
  <c r="AK79" i="15"/>
  <c r="AK58" i="15"/>
  <c r="AK59" i="15"/>
  <c r="AK62" i="15"/>
  <c r="AK60" i="15"/>
  <c r="AK61" i="15"/>
  <c r="V60" i="12"/>
  <c r="F37" i="12" s="1"/>
  <c r="W57" i="12"/>
  <c r="W55" i="12" s="1"/>
  <c r="W56" i="12" s="1"/>
  <c r="AF72" i="13"/>
  <c r="AF73" i="13"/>
  <c r="AH68" i="13"/>
  <c r="AG69" i="13"/>
  <c r="Y52" i="12"/>
  <c r="Z53" i="12"/>
  <c r="Z54" i="12" s="1"/>
  <c r="AB49" i="12"/>
  <c r="AB50" i="12" s="1"/>
  <c r="AB51" i="12" s="1"/>
  <c r="W6" i="34"/>
  <c r="AK67" i="15" l="1"/>
  <c r="AK69" i="15" s="1"/>
  <c r="AK82" i="15"/>
  <c r="AK74" i="15" s="1"/>
  <c r="AK84" i="15"/>
  <c r="AL84" i="15"/>
  <c r="AL64" i="15"/>
  <c r="AI77" i="15"/>
  <c r="AI75" i="15"/>
  <c r="AI76" i="15"/>
  <c r="AL83" i="15"/>
  <c r="AL82" i="15"/>
  <c r="AJ73" i="15"/>
  <c r="AK70" i="15"/>
  <c r="AK72" i="15"/>
  <c r="AK71" i="15"/>
  <c r="AL79" i="15"/>
  <c r="AL59" i="15"/>
  <c r="AL58" i="15"/>
  <c r="AL61" i="15"/>
  <c r="AL62" i="15"/>
  <c r="AL60" i="15"/>
  <c r="W60" i="12"/>
  <c r="X57" i="12"/>
  <c r="X55" i="12" s="1"/>
  <c r="X56" i="12" s="1"/>
  <c r="AH69" i="13"/>
  <c r="AI68" i="13"/>
  <c r="AG72" i="13"/>
  <c r="AG73" i="13"/>
  <c r="Z52" i="12"/>
  <c r="AA53" i="12"/>
  <c r="AA54" i="12" s="1"/>
  <c r="AC49" i="12"/>
  <c r="AC50" i="12" s="1"/>
  <c r="AC51" i="12" s="1"/>
  <c r="AL74" i="15" l="1"/>
  <c r="AL67" i="15"/>
  <c r="AL69" i="15" s="1"/>
  <c r="AM84" i="15"/>
  <c r="AM64" i="15"/>
  <c r="AJ77" i="15"/>
  <c r="AJ75" i="15"/>
  <c r="AJ76" i="15"/>
  <c r="AM83" i="15"/>
  <c r="AM82" i="15"/>
  <c r="AK73" i="15"/>
  <c r="AL70" i="15"/>
  <c r="AL72" i="15"/>
  <c r="AL71" i="15"/>
  <c r="AM79" i="15"/>
  <c r="AM60" i="15"/>
  <c r="AM58" i="15"/>
  <c r="AM62" i="15"/>
  <c r="AM61" i="15"/>
  <c r="AM59" i="15"/>
  <c r="X60" i="12"/>
  <c r="Y57" i="12"/>
  <c r="Y55" i="12" s="1"/>
  <c r="Y56" i="12" s="1"/>
  <c r="AI69" i="13"/>
  <c r="AJ68" i="13"/>
  <c r="AH72" i="13"/>
  <c r="AH73" i="13"/>
  <c r="E70" i="13"/>
  <c r="AA52" i="12"/>
  <c r="AB53" i="12"/>
  <c r="AB54" i="12" s="1"/>
  <c r="AD49" i="12"/>
  <c r="AD50" i="12" s="1"/>
  <c r="AD51" i="12" s="1"/>
  <c r="AM74" i="15" l="1"/>
  <c r="AM67" i="15"/>
  <c r="AM69" i="15" s="1"/>
  <c r="AN83" i="15"/>
  <c r="AN64" i="15"/>
  <c r="AK77" i="15"/>
  <c r="AK75" i="15"/>
  <c r="AK76" i="15"/>
  <c r="AL73" i="15"/>
  <c r="AM70" i="15"/>
  <c r="AM72" i="15"/>
  <c r="AM71" i="15"/>
  <c r="AN79" i="15"/>
  <c r="AN59" i="15"/>
  <c r="AN58" i="15"/>
  <c r="AN62" i="15"/>
  <c r="AN61" i="15"/>
  <c r="AN60" i="15"/>
  <c r="Y60" i="12"/>
  <c r="Z57" i="12"/>
  <c r="Z55" i="12" s="1"/>
  <c r="Z56" i="12" s="1"/>
  <c r="F70" i="13"/>
  <c r="E78" i="13"/>
  <c r="E79" i="13"/>
  <c r="E74" i="13"/>
  <c r="E75" i="13"/>
  <c r="AJ69" i="13"/>
  <c r="AK68" i="13"/>
  <c r="AI72" i="13"/>
  <c r="AI73" i="13"/>
  <c r="AB52" i="12"/>
  <c r="AC53" i="12"/>
  <c r="AC54" i="12" s="1"/>
  <c r="AE49" i="12"/>
  <c r="AE50" i="12" s="1"/>
  <c r="AE51" i="12" s="1"/>
  <c r="AN67" i="15" l="1"/>
  <c r="AN69" i="15" s="1"/>
  <c r="AN82" i="15"/>
  <c r="AN74" i="15" s="1"/>
  <c r="AN84" i="15"/>
  <c r="AO83" i="15"/>
  <c r="AO64" i="15"/>
  <c r="AL77" i="15"/>
  <c r="AL75" i="15"/>
  <c r="AL76" i="15"/>
  <c r="AM73" i="15"/>
  <c r="AN70" i="15"/>
  <c r="AN72" i="15"/>
  <c r="AN71" i="15"/>
  <c r="AO79" i="15"/>
  <c r="AO60" i="15"/>
  <c r="AO58" i="15"/>
  <c r="AO59" i="15"/>
  <c r="AO62" i="15"/>
  <c r="AO61" i="15"/>
  <c r="Z60" i="12"/>
  <c r="AA57" i="12"/>
  <c r="AA55" i="12" s="1"/>
  <c r="AA56" i="12" s="1"/>
  <c r="E77" i="13"/>
  <c r="AK69" i="13"/>
  <c r="AL68" i="13"/>
  <c r="AJ72" i="13"/>
  <c r="AJ73" i="13"/>
  <c r="G70" i="13"/>
  <c r="F78" i="13"/>
  <c r="F79" i="13"/>
  <c r="F74" i="13"/>
  <c r="F75" i="13"/>
  <c r="AC52" i="12"/>
  <c r="AD53" i="12"/>
  <c r="AD54" i="12" s="1"/>
  <c r="AF49" i="12"/>
  <c r="AF50" i="12" s="1"/>
  <c r="AF51" i="12" s="1"/>
  <c r="AO67" i="15" l="1"/>
  <c r="AO69" i="15" s="1"/>
  <c r="AO82" i="15"/>
  <c r="AO74" i="15" s="1"/>
  <c r="AO84" i="15"/>
  <c r="AP64" i="15"/>
  <c r="AP84" i="15"/>
  <c r="AM77" i="15"/>
  <c r="AM75" i="15"/>
  <c r="AM76" i="15"/>
  <c r="AN73" i="15"/>
  <c r="AN76" i="15" s="1"/>
  <c r="AO70" i="15"/>
  <c r="AO72" i="15"/>
  <c r="AO71" i="15"/>
  <c r="AP79" i="15"/>
  <c r="AP61" i="15"/>
  <c r="AP59" i="15"/>
  <c r="AP60" i="15"/>
  <c r="AP58" i="15"/>
  <c r="AP62" i="15"/>
  <c r="AA60" i="12"/>
  <c r="F38" i="12" s="1"/>
  <c r="AB57" i="12"/>
  <c r="AB55" i="12" s="1"/>
  <c r="AB56" i="12" s="1"/>
  <c r="F77" i="13"/>
  <c r="AM68" i="13"/>
  <c r="AL69" i="13"/>
  <c r="H70" i="13"/>
  <c r="G78" i="13"/>
  <c r="G79" i="13"/>
  <c r="G74" i="13"/>
  <c r="G75" i="13"/>
  <c r="AK72" i="13"/>
  <c r="AK73" i="13"/>
  <c r="AD52" i="12"/>
  <c r="AE53" i="12"/>
  <c r="AE54" i="12" s="1"/>
  <c r="AG49" i="12"/>
  <c r="AG50" i="12" s="1"/>
  <c r="AG51" i="12" s="1"/>
  <c r="X6" i="34"/>
  <c r="AP67" i="15" l="1"/>
  <c r="AP69" i="15" s="1"/>
  <c r="AP82" i="15"/>
  <c r="AP83" i="15"/>
  <c r="AQ64" i="15"/>
  <c r="AQ82" i="15"/>
  <c r="AN77" i="15"/>
  <c r="AN75" i="15"/>
  <c r="AO73" i="15"/>
  <c r="AP70" i="15"/>
  <c r="AP72" i="15"/>
  <c r="AP71" i="15"/>
  <c r="AQ79" i="15"/>
  <c r="AQ62" i="15"/>
  <c r="AQ61" i="15"/>
  <c r="AQ60" i="15"/>
  <c r="AQ59" i="15"/>
  <c r="AQ58" i="15"/>
  <c r="AB60" i="12"/>
  <c r="AC57" i="12"/>
  <c r="AC55" i="12" s="1"/>
  <c r="AC56" i="12" s="1"/>
  <c r="H78" i="13"/>
  <c r="H79" i="13"/>
  <c r="H74" i="13"/>
  <c r="H75" i="13"/>
  <c r="I70" i="13"/>
  <c r="AL72" i="13"/>
  <c r="AL73" i="13"/>
  <c r="AN68" i="13"/>
  <c r="AM69" i="13"/>
  <c r="G77" i="13"/>
  <c r="AE52" i="12"/>
  <c r="AF53" i="12"/>
  <c r="AF54" i="12" s="1"/>
  <c r="AH49" i="12"/>
  <c r="AH50" i="12" s="1"/>
  <c r="AH51" i="12" s="1"/>
  <c r="AP74" i="15" l="1"/>
  <c r="AQ67" i="15"/>
  <c r="AQ69" i="15" s="1"/>
  <c r="AQ84" i="15"/>
  <c r="AQ83" i="15"/>
  <c r="AQ74" i="15" s="1"/>
  <c r="AR64" i="15"/>
  <c r="AR82" i="15"/>
  <c r="AO77" i="15"/>
  <c r="AO75" i="15"/>
  <c r="AO76" i="15"/>
  <c r="AP73" i="15"/>
  <c r="AQ70" i="15"/>
  <c r="AQ71" i="15"/>
  <c r="AQ72" i="15"/>
  <c r="AR79" i="15"/>
  <c r="AR62" i="15"/>
  <c r="AR61" i="15"/>
  <c r="AR60" i="15"/>
  <c r="AR59" i="15"/>
  <c r="AR58" i="15"/>
  <c r="AC60" i="12"/>
  <c r="AD57" i="12"/>
  <c r="AD55" i="12" s="1"/>
  <c r="AD56" i="12" s="1"/>
  <c r="H77" i="13"/>
  <c r="AM72" i="13"/>
  <c r="AM73" i="13"/>
  <c r="AO68" i="13"/>
  <c r="AN69" i="13"/>
  <c r="I78" i="13"/>
  <c r="I79" i="13"/>
  <c r="I74" i="13"/>
  <c r="J70" i="13"/>
  <c r="I75" i="13"/>
  <c r="AF52" i="12"/>
  <c r="AG53" i="12"/>
  <c r="AG54" i="12" s="1"/>
  <c r="AI49" i="12"/>
  <c r="AI50" i="12" s="1"/>
  <c r="AI51" i="12" s="1"/>
  <c r="AR67" i="15" l="1"/>
  <c r="AR69" i="15" s="1"/>
  <c r="AR83" i="15"/>
  <c r="AR74" i="15" s="1"/>
  <c r="AR84" i="15"/>
  <c r="AS64" i="15"/>
  <c r="AS82" i="15"/>
  <c r="AP77" i="15"/>
  <c r="AP75" i="15"/>
  <c r="AP76" i="15"/>
  <c r="AQ73" i="15"/>
  <c r="AR70" i="15"/>
  <c r="AR71" i="15"/>
  <c r="AR72" i="15"/>
  <c r="AS79" i="15"/>
  <c r="AS59" i="15"/>
  <c r="AS62" i="15"/>
  <c r="AS58" i="15"/>
  <c r="AS61" i="15"/>
  <c r="AS60" i="15"/>
  <c r="AD60" i="12"/>
  <c r="AE57" i="12"/>
  <c r="AE55" i="12" s="1"/>
  <c r="AE56" i="12" s="1"/>
  <c r="I77" i="13"/>
  <c r="AN72" i="13"/>
  <c r="AN73" i="13"/>
  <c r="J78" i="13"/>
  <c r="J79" i="13"/>
  <c r="J74" i="13"/>
  <c r="J75" i="13"/>
  <c r="K70" i="13"/>
  <c r="AP68" i="13"/>
  <c r="AO69" i="13"/>
  <c r="AG52" i="12"/>
  <c r="AH53" i="12"/>
  <c r="AH54" i="12" s="1"/>
  <c r="AJ49" i="12"/>
  <c r="AJ50" i="12" s="1"/>
  <c r="AJ51" i="12" s="1"/>
  <c r="AS67" i="15" l="1"/>
  <c r="AS69" i="15" s="1"/>
  <c r="AS83" i="15"/>
  <c r="AS74" i="15" s="1"/>
  <c r="AS84" i="15"/>
  <c r="AT64" i="15"/>
  <c r="AQ77" i="15"/>
  <c r="AQ75" i="15"/>
  <c r="AQ76" i="15"/>
  <c r="AT84" i="15"/>
  <c r="AT83" i="15"/>
  <c r="AT82" i="15"/>
  <c r="AR73" i="15"/>
  <c r="AR76" i="15" s="1"/>
  <c r="AS70" i="15"/>
  <c r="AS71" i="15"/>
  <c r="AS72" i="15"/>
  <c r="AT79" i="15"/>
  <c r="AT60" i="15"/>
  <c r="AT59" i="15"/>
  <c r="AT62" i="15"/>
  <c r="AT61" i="15"/>
  <c r="AT58" i="15"/>
  <c r="AE60" i="12"/>
  <c r="AF57" i="12"/>
  <c r="AF55" i="12" s="1"/>
  <c r="AF56" i="12" s="1"/>
  <c r="J77" i="13"/>
  <c r="AO72" i="13"/>
  <c r="AO73" i="13"/>
  <c r="AQ68" i="13"/>
  <c r="AP69" i="13"/>
  <c r="K79" i="13"/>
  <c r="K74" i="13"/>
  <c r="K75" i="13"/>
  <c r="L70" i="13"/>
  <c r="K78" i="13"/>
  <c r="AH52" i="12"/>
  <c r="AI53" i="12"/>
  <c r="AI54" i="12" s="1"/>
  <c r="AK49" i="12"/>
  <c r="AK50" i="12" s="1"/>
  <c r="AK51" i="12" s="1"/>
  <c r="AT67" i="15" l="1"/>
  <c r="AT69" i="15" s="1"/>
  <c r="AT74" i="15"/>
  <c r="AU64" i="15"/>
  <c r="AU84" i="15"/>
  <c r="C43" i="15" s="1"/>
  <c r="AR77" i="15"/>
  <c r="AR75" i="15"/>
  <c r="AS73" i="15"/>
  <c r="AT70" i="15"/>
  <c r="AT71" i="15"/>
  <c r="AT72" i="15"/>
  <c r="AU79" i="15"/>
  <c r="AU60" i="15"/>
  <c r="AU62" i="15"/>
  <c r="AU61" i="15"/>
  <c r="AU58" i="15"/>
  <c r="AU59" i="15"/>
  <c r="AF60" i="12"/>
  <c r="AG57" i="12"/>
  <c r="AG55" i="12" s="1"/>
  <c r="AG56" i="12" s="1"/>
  <c r="K77" i="13"/>
  <c r="L79" i="13"/>
  <c r="L74" i="13"/>
  <c r="L75" i="13"/>
  <c r="M70" i="13"/>
  <c r="L78" i="13"/>
  <c r="AP72" i="13"/>
  <c r="AP73" i="13"/>
  <c r="AR68" i="13"/>
  <c r="AQ69" i="13"/>
  <c r="AI52" i="12"/>
  <c r="AJ53" i="12"/>
  <c r="AJ54" i="12" s="1"/>
  <c r="AL49" i="12"/>
  <c r="AL50" i="12" s="1"/>
  <c r="AL51" i="12" s="1"/>
  <c r="H15" i="34"/>
  <c r="AU67" i="15" l="1"/>
  <c r="AU69" i="15" s="1"/>
  <c r="AU82" i="15"/>
  <c r="AU83" i="15"/>
  <c r="AV64" i="15"/>
  <c r="AV82" i="15"/>
  <c r="AS77" i="15"/>
  <c r="AS75" i="15"/>
  <c r="AS76" i="15"/>
  <c r="AV83" i="15"/>
  <c r="AT73" i="15"/>
  <c r="AU70" i="15"/>
  <c r="AU71" i="15"/>
  <c r="AU72" i="15"/>
  <c r="AV79" i="15"/>
  <c r="AV61" i="15"/>
  <c r="AV62" i="15"/>
  <c r="AV59" i="15"/>
  <c r="AV58" i="15"/>
  <c r="AV60" i="15"/>
  <c r="AG60" i="12"/>
  <c r="AH57" i="12"/>
  <c r="AH55" i="12" s="1"/>
  <c r="AH56" i="12" s="1"/>
  <c r="AQ72" i="13"/>
  <c r="AQ73" i="13"/>
  <c r="AS68" i="13"/>
  <c r="AR69" i="13"/>
  <c r="M79" i="13"/>
  <c r="M74" i="13"/>
  <c r="M75" i="13"/>
  <c r="N70" i="13"/>
  <c r="M78" i="13"/>
  <c r="L77" i="13"/>
  <c r="AJ52" i="12"/>
  <c r="AK53" i="12"/>
  <c r="AK54" i="12" s="1"/>
  <c r="AM49" i="12"/>
  <c r="AM50" i="12" s="1"/>
  <c r="AM51" i="12" s="1"/>
  <c r="AV74" i="15" l="1"/>
  <c r="AU74" i="15"/>
  <c r="AV67" i="15"/>
  <c r="AV69" i="15" s="1"/>
  <c r="AV84" i="15"/>
  <c r="AW64" i="15"/>
  <c r="AW83" i="15"/>
  <c r="AT77" i="15"/>
  <c r="AT75" i="15"/>
  <c r="AT76" i="15"/>
  <c r="AU73" i="15"/>
  <c r="AV70" i="15"/>
  <c r="AV71" i="15"/>
  <c r="AV72" i="15"/>
  <c r="AW79" i="15"/>
  <c r="AW62" i="15"/>
  <c r="AW61" i="15"/>
  <c r="AW60" i="15"/>
  <c r="AW59" i="15"/>
  <c r="AW58" i="15"/>
  <c r="AH60" i="12"/>
  <c r="AI57" i="12"/>
  <c r="AI55" i="12" s="1"/>
  <c r="AI56" i="12" s="1"/>
  <c r="N74" i="13"/>
  <c r="N75" i="13"/>
  <c r="O70" i="13"/>
  <c r="N78" i="13"/>
  <c r="N79" i="13"/>
  <c r="M77" i="13"/>
  <c r="AR73" i="13"/>
  <c r="AR72" i="13"/>
  <c r="AT68" i="13"/>
  <c r="AS69" i="13"/>
  <c r="AK52" i="12"/>
  <c r="AL53" i="12"/>
  <c r="AL54" i="12" s="1"/>
  <c r="AN49" i="12"/>
  <c r="AN50" i="12" s="1"/>
  <c r="AN51" i="12" s="1"/>
  <c r="AW67" i="15" l="1"/>
  <c r="AW69" i="15" s="1"/>
  <c r="AW82" i="15"/>
  <c r="AW74" i="15" s="1"/>
  <c r="AW84" i="15"/>
  <c r="AX64" i="15"/>
  <c r="AU77" i="15"/>
  <c r="AU75" i="15"/>
  <c r="AU76" i="15"/>
  <c r="AV73" i="15"/>
  <c r="AW70" i="15"/>
  <c r="AW72" i="15"/>
  <c r="AW71" i="15"/>
  <c r="AX79" i="15"/>
  <c r="AX61" i="15"/>
  <c r="AX60" i="15"/>
  <c r="AX59" i="15"/>
  <c r="AX62" i="15"/>
  <c r="AX58" i="15"/>
  <c r="AI60" i="12"/>
  <c r="AJ57" i="12"/>
  <c r="AJ55" i="12" s="1"/>
  <c r="AJ56" i="12" s="1"/>
  <c r="AS73" i="13"/>
  <c r="AS72" i="13"/>
  <c r="AU68" i="13"/>
  <c r="AT69" i="13"/>
  <c r="D60" i="13"/>
  <c r="D59" i="13"/>
  <c r="O74" i="13"/>
  <c r="O75" i="13"/>
  <c r="P70" i="13"/>
  <c r="O79" i="13"/>
  <c r="O78" i="13"/>
  <c r="N77" i="13"/>
  <c r="AL52" i="12"/>
  <c r="AM53" i="12"/>
  <c r="AM54" i="12" s="1"/>
  <c r="AO49" i="12"/>
  <c r="AO50" i="12" s="1"/>
  <c r="AO51" i="12" s="1"/>
  <c r="AX67" i="15" l="1"/>
  <c r="AX69" i="15" s="1"/>
  <c r="AX83" i="15"/>
  <c r="AX84" i="15"/>
  <c r="AX82" i="15"/>
  <c r="AY64" i="15"/>
  <c r="AV77" i="15"/>
  <c r="AV75" i="15"/>
  <c r="AV76" i="15"/>
  <c r="AY84" i="15"/>
  <c r="AY82" i="15"/>
  <c r="AY83" i="15"/>
  <c r="AW73" i="15"/>
  <c r="AX70" i="15"/>
  <c r="AX71" i="15"/>
  <c r="AX72" i="15"/>
  <c r="AY79" i="15"/>
  <c r="AY61" i="15"/>
  <c r="AY60" i="15"/>
  <c r="AY59" i="15"/>
  <c r="AY58" i="15"/>
  <c r="AY62" i="15"/>
  <c r="AJ60" i="12"/>
  <c r="AK57" i="12"/>
  <c r="AK55" i="12" s="1"/>
  <c r="AK56" i="12" s="1"/>
  <c r="P74" i="13"/>
  <c r="P75" i="13"/>
  <c r="P78" i="13"/>
  <c r="P79" i="13"/>
  <c r="Q70" i="13"/>
  <c r="O77" i="13"/>
  <c r="AT73" i="13"/>
  <c r="AT72" i="13"/>
  <c r="AV68" i="13"/>
  <c r="AV69" i="13" s="1"/>
  <c r="AU69" i="13"/>
  <c r="AM52" i="12"/>
  <c r="AN53" i="12"/>
  <c r="AN54" i="12" s="1"/>
  <c r="AP49" i="12"/>
  <c r="AP50" i="12" s="1"/>
  <c r="AP51" i="12" s="1"/>
  <c r="AX74" i="15" l="1"/>
  <c r="AY74" i="15"/>
  <c r="AY67" i="15"/>
  <c r="AY69" i="15" s="1"/>
  <c r="AW77" i="15"/>
  <c r="AW75" i="15"/>
  <c r="AW76" i="15"/>
  <c r="AX73" i="15"/>
  <c r="AY70" i="15"/>
  <c r="AY71" i="15"/>
  <c r="AY72" i="15"/>
  <c r="AK60" i="12"/>
  <c r="AL57" i="12"/>
  <c r="AL55" i="12" s="1"/>
  <c r="AL56" i="12" s="1"/>
  <c r="P77" i="13"/>
  <c r="AU72" i="13"/>
  <c r="AU73" i="13"/>
  <c r="Q74" i="13"/>
  <c r="Q75" i="13"/>
  <c r="R70" i="13"/>
  <c r="Q78" i="13"/>
  <c r="Q79" i="13"/>
  <c r="AV73" i="13"/>
  <c r="AV72" i="13"/>
  <c r="AN52" i="12"/>
  <c r="AO53" i="12"/>
  <c r="AO54" i="12" s="1"/>
  <c r="AQ49" i="12"/>
  <c r="AQ50" i="12" s="1"/>
  <c r="AQ51" i="12" s="1"/>
  <c r="AX77" i="15" l="1"/>
  <c r="AX75" i="15"/>
  <c r="AX76" i="15"/>
  <c r="AY73" i="15"/>
  <c r="AL60" i="12"/>
  <c r="AM57" i="12"/>
  <c r="AM55" i="12" s="1"/>
  <c r="AM56" i="12" s="1"/>
  <c r="Q77" i="13"/>
  <c r="R75" i="13"/>
  <c r="S70" i="13"/>
  <c r="R78" i="13"/>
  <c r="R79" i="13"/>
  <c r="R74" i="13"/>
  <c r="AO52" i="12"/>
  <c r="AP53" i="12"/>
  <c r="AP54" i="12" s="1"/>
  <c r="AR49" i="12"/>
  <c r="AR50" i="12" s="1"/>
  <c r="AR51" i="12" s="1"/>
  <c r="R77" i="13" l="1"/>
  <c r="AY77" i="15"/>
  <c r="AY75" i="15"/>
  <c r="C45" i="15" s="1"/>
  <c r="AY76" i="15"/>
  <c r="AM60" i="12"/>
  <c r="AN57" i="12"/>
  <c r="AN55" i="12" s="1"/>
  <c r="AN56" i="12" s="1"/>
  <c r="S75" i="13"/>
  <c r="T70" i="13"/>
  <c r="S78" i="13"/>
  <c r="S74" i="13"/>
  <c r="S79" i="13"/>
  <c r="AP52" i="12"/>
  <c r="AQ53" i="12"/>
  <c r="AQ54" i="12" s="1"/>
  <c r="AS49" i="12"/>
  <c r="AS50" i="12" s="1"/>
  <c r="AS51" i="12" s="1"/>
  <c r="I15" i="34"/>
  <c r="J15" i="34"/>
  <c r="S77" i="13" l="1"/>
  <c r="AN60" i="12"/>
  <c r="AO57" i="12"/>
  <c r="AO55" i="12" s="1"/>
  <c r="AO56" i="12" s="1"/>
  <c r="T75" i="13"/>
  <c r="U70" i="13"/>
  <c r="T78" i="13"/>
  <c r="T79" i="13"/>
  <c r="T74" i="13"/>
  <c r="T77" i="13" s="1"/>
  <c r="AQ52" i="12"/>
  <c r="AR53" i="12"/>
  <c r="AR54" i="12" s="1"/>
  <c r="AT49" i="12"/>
  <c r="AT50" i="12" s="1"/>
  <c r="AT51" i="12" s="1"/>
  <c r="AO60" i="12" l="1"/>
  <c r="AP57" i="12"/>
  <c r="AP55" i="12" s="1"/>
  <c r="AP56" i="12" s="1"/>
  <c r="V70" i="13"/>
  <c r="U78" i="13"/>
  <c r="U79" i="13"/>
  <c r="U74" i="13"/>
  <c r="U75" i="13"/>
  <c r="AR52" i="12"/>
  <c r="AS53" i="12"/>
  <c r="AS54" i="12" s="1"/>
  <c r="AU49" i="12"/>
  <c r="AU50" i="12" s="1"/>
  <c r="AU51" i="12" s="1"/>
  <c r="AP60" i="12" l="1"/>
  <c r="AQ57" i="12"/>
  <c r="AQ55" i="12" s="1"/>
  <c r="AQ56" i="12" s="1"/>
  <c r="U77" i="13"/>
  <c r="W70" i="13"/>
  <c r="V78" i="13"/>
  <c r="V79" i="13"/>
  <c r="V75" i="13"/>
  <c r="V74" i="13"/>
  <c r="AS52" i="12"/>
  <c r="AT53" i="12"/>
  <c r="AT54" i="12" s="1"/>
  <c r="V77" i="13" l="1"/>
  <c r="AQ60" i="12"/>
  <c r="AR57" i="12"/>
  <c r="AR55" i="12" s="1"/>
  <c r="AR56" i="12" s="1"/>
  <c r="X70" i="13"/>
  <c r="W78" i="13"/>
  <c r="W79" i="13"/>
  <c r="W74" i="13"/>
  <c r="W75" i="13"/>
  <c r="AT52" i="12"/>
  <c r="AU53" i="12"/>
  <c r="AU54" i="12" s="1"/>
  <c r="C34" i="12" s="1"/>
  <c r="C35" i="12" s="1"/>
  <c r="H6" i="34"/>
  <c r="AR60" i="12" l="1"/>
  <c r="AS57" i="12"/>
  <c r="AS55" i="12" s="1"/>
  <c r="AS56" i="12" s="1"/>
  <c r="W77" i="13"/>
  <c r="X78" i="13"/>
  <c r="X79" i="13"/>
  <c r="X74" i="13"/>
  <c r="X75" i="13"/>
  <c r="Y70" i="13"/>
  <c r="AU52" i="12"/>
  <c r="D6" i="34"/>
  <c r="AS60" i="12" l="1"/>
  <c r="AT57" i="12"/>
  <c r="AT55" i="12" s="1"/>
  <c r="AT56" i="12" s="1"/>
  <c r="X77" i="13"/>
  <c r="Y78" i="13"/>
  <c r="Y79" i="13"/>
  <c r="Y74" i="13"/>
  <c r="Z70" i="13"/>
  <c r="Y75" i="13"/>
  <c r="E6" i="34"/>
  <c r="AT60" i="12" l="1"/>
  <c r="AU57" i="12"/>
  <c r="Y77" i="13"/>
  <c r="Z78" i="13"/>
  <c r="Z79" i="13"/>
  <c r="Z75" i="13"/>
  <c r="AA70" i="13"/>
  <c r="Z74" i="13"/>
  <c r="D10" i="11"/>
  <c r="F10" i="11" s="1"/>
  <c r="D11" i="11"/>
  <c r="F11" i="11" s="1"/>
  <c r="D12" i="11"/>
  <c r="F12" i="11" s="1"/>
  <c r="D13" i="11"/>
  <c r="F13" i="11" s="1"/>
  <c r="D14" i="11"/>
  <c r="F14" i="11" s="1"/>
  <c r="D39" i="11"/>
  <c r="AU60" i="12" l="1"/>
  <c r="AU55" i="12"/>
  <c r="AU56" i="12" s="1"/>
  <c r="Z77" i="13"/>
  <c r="F9" i="11"/>
  <c r="D41" i="11"/>
  <c r="D43" i="11" s="1"/>
  <c r="AA79" i="13"/>
  <c r="AA74" i="13"/>
  <c r="AA75" i="13"/>
  <c r="AB70" i="13"/>
  <c r="AA78" i="13"/>
  <c r="D15" i="11"/>
  <c r="E39" i="11"/>
  <c r="C40" i="12" l="1"/>
  <c r="C36" i="12"/>
  <c r="D42" i="11"/>
  <c r="E41" i="11"/>
  <c r="E43" i="11" s="1"/>
  <c r="AB79" i="13"/>
  <c r="AB74" i="13"/>
  <c r="AB75" i="13"/>
  <c r="AC70" i="13"/>
  <c r="AB78" i="13"/>
  <c r="AA77" i="13"/>
  <c r="F39" i="11"/>
  <c r="F6" i="34"/>
  <c r="I6" i="34"/>
  <c r="C37" i="12" l="1"/>
  <c r="F41" i="11"/>
  <c r="F43" i="11" s="1"/>
  <c r="E42" i="11"/>
  <c r="AC79" i="13"/>
  <c r="AC74" i="13"/>
  <c r="AC75" i="13"/>
  <c r="AD70" i="13"/>
  <c r="AC78" i="13"/>
  <c r="AB77" i="13"/>
  <c r="G39" i="11"/>
  <c r="J6" i="34"/>
  <c r="G6" i="34"/>
  <c r="G41" i="11" l="1"/>
  <c r="G43" i="11" s="1"/>
  <c r="F42" i="11"/>
  <c r="AD74" i="13"/>
  <c r="AD75" i="13"/>
  <c r="AE70" i="13"/>
  <c r="AD78" i="13"/>
  <c r="AD79" i="13"/>
  <c r="AC77" i="13"/>
  <c r="E40" i="11"/>
  <c r="E47" i="11" s="1"/>
  <c r="F40" i="11"/>
  <c r="F47" i="11" s="1"/>
  <c r="D40" i="11"/>
  <c r="D47" i="11" s="1"/>
  <c r="C43" i="11"/>
  <c r="H39" i="11"/>
  <c r="G42" i="11" l="1"/>
  <c r="D46" i="11"/>
  <c r="D45" i="11"/>
  <c r="F46" i="11"/>
  <c r="F45" i="11"/>
  <c r="E45" i="11"/>
  <c r="E46" i="11"/>
  <c r="H41" i="11"/>
  <c r="H43" i="11" s="1"/>
  <c r="C48" i="11"/>
  <c r="AE74" i="13"/>
  <c r="AE75" i="13"/>
  <c r="AF70" i="13"/>
  <c r="AE79" i="13"/>
  <c r="AE78" i="13"/>
  <c r="AD77" i="13"/>
  <c r="G40" i="11"/>
  <c r="G47" i="11" s="1"/>
  <c r="I39" i="11"/>
  <c r="D48" i="11" l="1"/>
  <c r="F48" i="11"/>
  <c r="E48" i="11"/>
  <c r="G45" i="11"/>
  <c r="G46" i="11"/>
  <c r="I41" i="11"/>
  <c r="I43" i="11" s="1"/>
  <c r="H42" i="11"/>
  <c r="AF74" i="13"/>
  <c r="AF75" i="13"/>
  <c r="AF78" i="13"/>
  <c r="AG70" i="13"/>
  <c r="AF79" i="13"/>
  <c r="AE77" i="13"/>
  <c r="H40" i="11"/>
  <c r="H47" i="11" s="1"/>
  <c r="J39" i="11"/>
  <c r="G48" i="11" l="1"/>
  <c r="F24" i="11" s="1"/>
  <c r="H46" i="11"/>
  <c r="H45" i="11"/>
  <c r="J41" i="11"/>
  <c r="J43" i="11" s="1"/>
  <c r="I42" i="11"/>
  <c r="AG74" i="13"/>
  <c r="AG75" i="13"/>
  <c r="AH70" i="13"/>
  <c r="AG78" i="13"/>
  <c r="AG79" i="13"/>
  <c r="AF77" i="13"/>
  <c r="I40" i="11"/>
  <c r="I47" i="11" s="1"/>
  <c r="K39" i="11"/>
  <c r="T5" i="34"/>
  <c r="H48" i="11" l="1"/>
  <c r="I46" i="11"/>
  <c r="I45" i="11"/>
  <c r="K41" i="11"/>
  <c r="K43" i="11" s="1"/>
  <c r="J42" i="11"/>
  <c r="AH75" i="13"/>
  <c r="AI70" i="13"/>
  <c r="AH78" i="13"/>
  <c r="AH79" i="13"/>
  <c r="AH74" i="13"/>
  <c r="AH77" i="13" s="1"/>
  <c r="AG77" i="13"/>
  <c r="J40" i="11"/>
  <c r="J47" i="11" s="1"/>
  <c r="L39" i="11"/>
  <c r="I48" i="11" l="1"/>
  <c r="J45" i="11"/>
  <c r="J46" i="11"/>
  <c r="L41" i="11"/>
  <c r="L43" i="11" s="1"/>
  <c r="K42" i="11"/>
  <c r="AI75" i="13"/>
  <c r="AJ70" i="13"/>
  <c r="AI78" i="13"/>
  <c r="AI79" i="13"/>
  <c r="AI74" i="13"/>
  <c r="K40" i="11"/>
  <c r="K47" i="11" s="1"/>
  <c r="M39" i="11"/>
  <c r="AI77" i="13" l="1"/>
  <c r="J48" i="11"/>
  <c r="K45" i="11"/>
  <c r="K46" i="11"/>
  <c r="L42" i="11"/>
  <c r="M41" i="11"/>
  <c r="M43" i="11" s="1"/>
  <c r="AJ75" i="13"/>
  <c r="AK70" i="13"/>
  <c r="AJ78" i="13"/>
  <c r="AJ79" i="13"/>
  <c r="AJ74" i="13"/>
  <c r="L40" i="11"/>
  <c r="L47" i="11" s="1"/>
  <c r="N39" i="11"/>
  <c r="AJ77" i="13" l="1"/>
  <c r="M42" i="11"/>
  <c r="K48" i="11"/>
  <c r="L46" i="11"/>
  <c r="L45" i="11"/>
  <c r="N41" i="11"/>
  <c r="N43" i="11" s="1"/>
  <c r="AL70" i="13"/>
  <c r="AK78" i="13"/>
  <c r="AK79" i="13"/>
  <c r="AK74" i="13"/>
  <c r="AK75" i="13"/>
  <c r="M40" i="11"/>
  <c r="M47" i="11" s="1"/>
  <c r="O39" i="11"/>
  <c r="N42" i="11" l="1"/>
  <c r="L48" i="11"/>
  <c r="F25" i="11" s="1"/>
  <c r="M46" i="11"/>
  <c r="M45" i="11"/>
  <c r="O41" i="11"/>
  <c r="O43" i="11" s="1"/>
  <c r="AK77" i="13"/>
  <c r="AM70" i="13"/>
  <c r="AL78" i="13"/>
  <c r="AL79" i="13"/>
  <c r="AL75" i="13"/>
  <c r="AL74" i="13"/>
  <c r="N40" i="11"/>
  <c r="N47" i="11" s="1"/>
  <c r="P39" i="11"/>
  <c r="U5" i="34"/>
  <c r="AL77" i="13" l="1"/>
  <c r="M48" i="11"/>
  <c r="O42" i="11"/>
  <c r="N45" i="11"/>
  <c r="N46" i="11"/>
  <c r="P41" i="11"/>
  <c r="P43" i="11" s="1"/>
  <c r="AN70" i="13"/>
  <c r="AM78" i="13"/>
  <c r="AM79" i="13"/>
  <c r="AM74" i="13"/>
  <c r="AM75" i="13"/>
  <c r="O40" i="11"/>
  <c r="O47" i="11" s="1"/>
  <c r="Q39" i="11"/>
  <c r="N48" i="11" l="1"/>
  <c r="O45" i="11"/>
  <c r="O46" i="11"/>
  <c r="P42" i="11"/>
  <c r="Q41" i="11"/>
  <c r="Q43" i="11" s="1"/>
  <c r="AM77" i="13"/>
  <c r="AN78" i="13"/>
  <c r="AN79" i="13"/>
  <c r="AN74" i="13"/>
  <c r="AN75" i="13"/>
  <c r="AO70" i="13"/>
  <c r="P40" i="11"/>
  <c r="P47" i="11" s="1"/>
  <c r="R39" i="11"/>
  <c r="O48" i="11" l="1"/>
  <c r="P46" i="11"/>
  <c r="P45" i="11"/>
  <c r="R41" i="11"/>
  <c r="R43" i="11" s="1"/>
  <c r="Q42" i="11"/>
  <c r="AN77" i="13"/>
  <c r="AO78" i="13"/>
  <c r="AO79" i="13"/>
  <c r="AO74" i="13"/>
  <c r="AO75" i="13"/>
  <c r="AP70" i="13"/>
  <c r="Q40" i="11"/>
  <c r="Q47" i="11" s="1"/>
  <c r="S39" i="11"/>
  <c r="P48" i="11" l="1"/>
  <c r="Q46" i="11"/>
  <c r="Q45" i="11"/>
  <c r="S41" i="11"/>
  <c r="S43" i="11" s="1"/>
  <c r="R42" i="11"/>
  <c r="AP78" i="13"/>
  <c r="AP79" i="13"/>
  <c r="AP74" i="13"/>
  <c r="AP75" i="13"/>
  <c r="AQ70" i="13"/>
  <c r="AO77" i="13"/>
  <c r="R40" i="11"/>
  <c r="R47" i="11" s="1"/>
  <c r="T39" i="11"/>
  <c r="Q48" i="11" l="1"/>
  <c r="F26" i="11" s="1"/>
  <c r="S42" i="11"/>
  <c r="R46" i="11"/>
  <c r="R45" i="11"/>
  <c r="T41" i="11"/>
  <c r="T43" i="11" s="1"/>
  <c r="AQ79" i="13"/>
  <c r="AQ74" i="13"/>
  <c r="AQ75" i="13"/>
  <c r="AR70" i="13"/>
  <c r="AQ78" i="13"/>
  <c r="AP77" i="13"/>
  <c r="S40" i="11"/>
  <c r="S47" i="11" s="1"/>
  <c r="U39" i="11"/>
  <c r="V5" i="34"/>
  <c r="R48" i="11" l="1"/>
  <c r="S45" i="11"/>
  <c r="S46" i="11"/>
  <c r="T42" i="11"/>
  <c r="U41" i="11"/>
  <c r="U43" i="11" s="1"/>
  <c r="AQ77" i="13"/>
  <c r="AR79" i="13"/>
  <c r="AR74" i="13"/>
  <c r="AR75" i="13"/>
  <c r="AR78" i="13"/>
  <c r="AS70" i="13"/>
  <c r="T40" i="11"/>
  <c r="T47" i="11" s="1"/>
  <c r="V39" i="11"/>
  <c r="S48" i="11" l="1"/>
  <c r="T46" i="11"/>
  <c r="T45" i="11"/>
  <c r="V41" i="11"/>
  <c r="V43" i="11" s="1"/>
  <c r="U42" i="11"/>
  <c r="AS79" i="13"/>
  <c r="AS74" i="13"/>
  <c r="AT70" i="13"/>
  <c r="AS75" i="13"/>
  <c r="AS78" i="13"/>
  <c r="AR77" i="13"/>
  <c r="D61" i="13" s="1"/>
  <c r="U40" i="11"/>
  <c r="U47" i="11" s="1"/>
  <c r="W39" i="11"/>
  <c r="T48" i="11" l="1"/>
  <c r="U45" i="11"/>
  <c r="U46" i="11"/>
  <c r="W41" i="11"/>
  <c r="W43" i="11" s="1"/>
  <c r="V42" i="11"/>
  <c r="AS77" i="13"/>
  <c r="AT74" i="13"/>
  <c r="AT75" i="13"/>
  <c r="AU70" i="13"/>
  <c r="AT78" i="13"/>
  <c r="AT79" i="13"/>
  <c r="V40" i="11"/>
  <c r="V47" i="11" s="1"/>
  <c r="X39" i="11"/>
  <c r="U48" i="11" l="1"/>
  <c r="V45" i="11"/>
  <c r="V46" i="11"/>
  <c r="X41" i="11"/>
  <c r="X43" i="11" s="1"/>
  <c r="W42" i="11"/>
  <c r="AU74" i="13"/>
  <c r="AU75" i="13"/>
  <c r="AV70" i="13"/>
  <c r="AU78" i="13"/>
  <c r="AU79" i="13"/>
  <c r="AT77" i="13"/>
  <c r="W40" i="11"/>
  <c r="W47" i="11" s="1"/>
  <c r="Y39" i="11"/>
  <c r="V48" i="11" l="1"/>
  <c r="F27" i="11" s="1"/>
  <c r="W46" i="11"/>
  <c r="W45" i="11"/>
  <c r="Y41" i="11"/>
  <c r="Y43" i="11" s="1"/>
  <c r="X42" i="11"/>
  <c r="AV74" i="13"/>
  <c r="AV75" i="13"/>
  <c r="AV78" i="13"/>
  <c r="AV79" i="13"/>
  <c r="AU77" i="13"/>
  <c r="X40" i="11"/>
  <c r="X47" i="11" s="1"/>
  <c r="Z39" i="11"/>
  <c r="W5" i="34"/>
  <c r="W48" i="11" l="1"/>
  <c r="X46" i="11"/>
  <c r="X45" i="11"/>
  <c r="Z41" i="11"/>
  <c r="Z43" i="11" s="1"/>
  <c r="Y42" i="11"/>
  <c r="AV77" i="13"/>
  <c r="Y40" i="11"/>
  <c r="Y47" i="11" s="1"/>
  <c r="AA39" i="11"/>
  <c r="X48" i="11" l="1"/>
  <c r="Y45" i="11"/>
  <c r="Y46" i="11"/>
  <c r="AA41" i="11"/>
  <c r="AA43" i="11" s="1"/>
  <c r="C26" i="11" s="1"/>
  <c r="Z42" i="11"/>
  <c r="Z40" i="11"/>
  <c r="Z47" i="11" s="1"/>
  <c r="AB39" i="11"/>
  <c r="F5" i="34"/>
  <c r="Y48" i="11" l="1"/>
  <c r="Z45" i="11"/>
  <c r="Z46" i="11"/>
  <c r="AB41" i="11"/>
  <c r="AB43" i="11" s="1"/>
  <c r="AB42" i="11"/>
  <c r="AA42" i="11"/>
  <c r="AA40" i="11"/>
  <c r="AA47" i="11" s="1"/>
  <c r="AC39" i="11"/>
  <c r="Z48" i="11" l="1"/>
  <c r="AA45" i="11"/>
  <c r="AA46" i="11"/>
  <c r="AC41" i="11"/>
  <c r="AC43" i="11" s="1"/>
  <c r="AC42" i="11"/>
  <c r="AB40" i="11"/>
  <c r="AB47" i="11" s="1"/>
  <c r="AD39" i="11"/>
  <c r="AA48" i="11" l="1"/>
  <c r="F28" i="11" s="1"/>
  <c r="AB46" i="11"/>
  <c r="AB45" i="11"/>
  <c r="AD41" i="11"/>
  <c r="AD43" i="11" s="1"/>
  <c r="AD42" i="11"/>
  <c r="AC40" i="11"/>
  <c r="AC47" i="11" s="1"/>
  <c r="AE39" i="11"/>
  <c r="X5" i="34"/>
  <c r="AB48" i="11" l="1"/>
  <c r="AC46" i="11"/>
  <c r="AC45" i="11"/>
  <c r="AE41" i="11"/>
  <c r="AE43" i="11" s="1"/>
  <c r="AE42" i="11"/>
  <c r="AD40" i="11"/>
  <c r="AD47" i="11" s="1"/>
  <c r="AF39" i="11"/>
  <c r="AC48" i="11" l="1"/>
  <c r="AD45" i="11"/>
  <c r="AD46" i="11"/>
  <c r="AF41" i="11"/>
  <c r="AF43" i="11" s="1"/>
  <c r="AF42" i="11"/>
  <c r="AE40" i="11"/>
  <c r="AE47" i="11" s="1"/>
  <c r="AG39" i="11"/>
  <c r="AD48" i="11" l="1"/>
  <c r="AE45" i="11"/>
  <c r="AE46" i="11"/>
  <c r="AG42" i="11"/>
  <c r="AG41" i="11"/>
  <c r="AG43" i="11" s="1"/>
  <c r="AF40" i="11"/>
  <c r="AF47" i="11" s="1"/>
  <c r="AH39" i="11"/>
  <c r="AE48" i="11" l="1"/>
  <c r="AF46" i="11"/>
  <c r="AF45" i="11"/>
  <c r="AH41" i="11"/>
  <c r="AH43" i="11" s="1"/>
  <c r="AH42" i="11"/>
  <c r="AG40" i="11"/>
  <c r="AG47" i="11" s="1"/>
  <c r="AI39" i="11"/>
  <c r="AF48" i="11" l="1"/>
  <c r="AG46" i="11"/>
  <c r="AG45" i="11"/>
  <c r="AI41" i="11"/>
  <c r="AI43" i="11" s="1"/>
  <c r="AI42" i="11"/>
  <c r="AH40" i="11"/>
  <c r="AH47" i="11" s="1"/>
  <c r="AJ39" i="11"/>
  <c r="AG48" i="11" l="1"/>
  <c r="AH46" i="11"/>
  <c r="AH45" i="11"/>
  <c r="AJ42" i="11"/>
  <c r="AJ41" i="11"/>
  <c r="AJ43" i="11" s="1"/>
  <c r="AI40" i="11"/>
  <c r="AI47" i="11" s="1"/>
  <c r="AK39" i="11"/>
  <c r="AH48" i="11" l="1"/>
  <c r="AI45" i="11"/>
  <c r="AI46" i="11"/>
  <c r="AK42" i="11"/>
  <c r="AK41" i="11"/>
  <c r="AK43" i="11" s="1"/>
  <c r="AJ40" i="11"/>
  <c r="AJ47" i="11" s="1"/>
  <c r="AL39" i="11"/>
  <c r="AI48" i="11" l="1"/>
  <c r="AJ45" i="11"/>
  <c r="AJ46" i="11"/>
  <c r="AL42" i="11"/>
  <c r="AL41" i="11"/>
  <c r="AL43" i="11" s="1"/>
  <c r="AK40" i="11"/>
  <c r="AK47" i="11" s="1"/>
  <c r="AM39" i="11"/>
  <c r="AJ48" i="11" l="1"/>
  <c r="AK46" i="11"/>
  <c r="AK45" i="11"/>
  <c r="AM42" i="11"/>
  <c r="AM41" i="11"/>
  <c r="AM43" i="11" s="1"/>
  <c r="AL40" i="11"/>
  <c r="AL47" i="11" s="1"/>
  <c r="AN39" i="11"/>
  <c r="AK48" i="11" l="1"/>
  <c r="AL45" i="11"/>
  <c r="AL46" i="11"/>
  <c r="AN42" i="11"/>
  <c r="AN41" i="11"/>
  <c r="AN43" i="11" s="1"/>
  <c r="AM40" i="11"/>
  <c r="AM47" i="11" s="1"/>
  <c r="AO39" i="11"/>
  <c r="AL48" i="11" l="1"/>
  <c r="AM45" i="11"/>
  <c r="AM46" i="11"/>
  <c r="AO42" i="11"/>
  <c r="AO41" i="11"/>
  <c r="AO43" i="11" s="1"/>
  <c r="AN40" i="11"/>
  <c r="AN47" i="11" s="1"/>
  <c r="AP39" i="11"/>
  <c r="AM48" i="11" l="1"/>
  <c r="AN45" i="11"/>
  <c r="AN46" i="11"/>
  <c r="AP42" i="11"/>
  <c r="AP41" i="11"/>
  <c r="AP43" i="11" s="1"/>
  <c r="AO40" i="11"/>
  <c r="AO47" i="11" s="1"/>
  <c r="AQ39" i="11"/>
  <c r="AN48" i="11" l="1"/>
  <c r="AO45" i="11"/>
  <c r="AO46" i="11"/>
  <c r="AQ42" i="11"/>
  <c r="AQ41" i="11"/>
  <c r="AQ43" i="11" s="1"/>
  <c r="AP40" i="11"/>
  <c r="AP47" i="11" s="1"/>
  <c r="AR39" i="11"/>
  <c r="AO48" i="11" l="1"/>
  <c r="AP45" i="11"/>
  <c r="AP46" i="11"/>
  <c r="AR41" i="11"/>
  <c r="AR43" i="11" s="1"/>
  <c r="AR42" i="11"/>
  <c r="AQ40" i="11"/>
  <c r="AQ47" i="11" s="1"/>
  <c r="AS39" i="11"/>
  <c r="AP48" i="11" l="1"/>
  <c r="AQ45" i="11"/>
  <c r="AQ46" i="11"/>
  <c r="AS41" i="11"/>
  <c r="AS43" i="11" s="1"/>
  <c r="AS42" i="11"/>
  <c r="AR40" i="11"/>
  <c r="AR47" i="11" s="1"/>
  <c r="AT39" i="11"/>
  <c r="AQ48" i="11" l="1"/>
  <c r="AR45" i="11"/>
  <c r="AR46" i="11"/>
  <c r="AT41" i="11"/>
  <c r="AT43" i="11" s="1"/>
  <c r="AT42" i="11"/>
  <c r="AS40" i="11"/>
  <c r="AS47" i="11" s="1"/>
  <c r="AU39" i="11"/>
  <c r="AR48" i="11" l="1"/>
  <c r="AS45" i="11"/>
  <c r="AS46" i="11"/>
  <c r="AU41" i="11"/>
  <c r="AU43" i="11" s="1"/>
  <c r="AU42" i="11"/>
  <c r="AT40" i="11"/>
  <c r="AT47" i="11" s="1"/>
  <c r="AS48" i="11" l="1"/>
  <c r="AT46" i="11"/>
  <c r="AT45" i="11"/>
  <c r="AU40" i="11"/>
  <c r="AU47" i="11" s="1"/>
  <c r="C28" i="11"/>
  <c r="H5" i="34"/>
  <c r="AT48" i="11" l="1"/>
  <c r="AU46" i="11"/>
  <c r="AU45" i="11"/>
  <c r="AR75" i="2"/>
  <c r="AS75" i="2"/>
  <c r="AT75" i="2"/>
  <c r="AU75" i="2"/>
  <c r="G3" i="2"/>
  <c r="B3" i="2"/>
  <c r="F352" i="4"/>
  <c r="F350" i="4"/>
  <c r="F351" i="4"/>
  <c r="F349" i="4"/>
  <c r="F7" i="4"/>
  <c r="F8" i="4"/>
  <c r="F9" i="4"/>
  <c r="F10" i="4"/>
  <c r="F11" i="4"/>
  <c r="F12" i="4"/>
  <c r="F13" i="4"/>
  <c r="F14" i="4"/>
  <c r="F15" i="4"/>
  <c r="F6" i="4"/>
  <c r="AU48" i="11" l="1"/>
  <c r="C30" i="11" s="1"/>
  <c r="C27" i="11"/>
  <c r="F353" i="4"/>
  <c r="AG72" i="4"/>
  <c r="E289" i="4"/>
  <c r="E141" i="4"/>
  <c r="D124" i="4" s="1"/>
  <c r="I5" i="34"/>
  <c r="G5" i="34"/>
  <c r="J5" i="34"/>
  <c r="AB73" i="26" l="1"/>
  <c r="AB74" i="26"/>
  <c r="AB49" i="28"/>
  <c r="AH72" i="4"/>
  <c r="AB56" i="25"/>
  <c r="AB58" i="25" s="1"/>
  <c r="C124" i="4"/>
  <c r="E124" i="4"/>
  <c r="AA75" i="2"/>
  <c r="AK75" i="2"/>
  <c r="AL75" i="2"/>
  <c r="AM75" i="2"/>
  <c r="AN75" i="2"/>
  <c r="AO75" i="2"/>
  <c r="AP75" i="2"/>
  <c r="AQ75" i="2"/>
  <c r="F14" i="2"/>
  <c r="F15" i="2"/>
  <c r="F16" i="2"/>
  <c r="F17" i="2"/>
  <c r="F18" i="2"/>
  <c r="F13" i="2"/>
  <c r="G14" i="2"/>
  <c r="G15" i="2"/>
  <c r="G16" i="2"/>
  <c r="G17" i="2"/>
  <c r="G18" i="2"/>
  <c r="G13" i="2"/>
  <c r="S161" i="4"/>
  <c r="R161" i="4"/>
  <c r="Q161" i="4"/>
  <c r="P161" i="4"/>
  <c r="S160" i="4"/>
  <c r="R160" i="4"/>
  <c r="Q160" i="4"/>
  <c r="P160" i="4"/>
  <c r="S159" i="4"/>
  <c r="R159" i="4"/>
  <c r="Q159" i="4"/>
  <c r="P159" i="4"/>
  <c r="S158" i="4"/>
  <c r="R158" i="4"/>
  <c r="Q158" i="4"/>
  <c r="P158" i="4"/>
  <c r="S157" i="4"/>
  <c r="R157" i="4"/>
  <c r="Q157" i="4"/>
  <c r="P157" i="4"/>
  <c r="S156" i="4"/>
  <c r="R156" i="4"/>
  <c r="Q156" i="4"/>
  <c r="P156" i="4"/>
  <c r="S148" i="4"/>
  <c r="S149" i="4"/>
  <c r="S150" i="4"/>
  <c r="L16" i="26" s="1"/>
  <c r="S151" i="4"/>
  <c r="L17" i="26" s="1"/>
  <c r="S152" i="4"/>
  <c r="L18" i="26" s="1"/>
  <c r="S153" i="4"/>
  <c r="L19" i="26" s="1"/>
  <c r="R153" i="4"/>
  <c r="K19" i="26" s="1"/>
  <c r="R152" i="4"/>
  <c r="K18" i="26" s="1"/>
  <c r="R151" i="4"/>
  <c r="K17" i="26" s="1"/>
  <c r="R150" i="4"/>
  <c r="K16" i="26" s="1"/>
  <c r="R149" i="4"/>
  <c r="R148" i="4"/>
  <c r="Q148" i="4"/>
  <c r="Q149" i="4"/>
  <c r="Q150" i="4"/>
  <c r="J16" i="26" s="1"/>
  <c r="Q151" i="4"/>
  <c r="J17" i="26" s="1"/>
  <c r="Q152" i="4"/>
  <c r="J18" i="26" s="1"/>
  <c r="Q153" i="4"/>
  <c r="J19" i="26" s="1"/>
  <c r="P153" i="4"/>
  <c r="I19" i="26" s="1"/>
  <c r="P152" i="4"/>
  <c r="I18" i="26" s="1"/>
  <c r="P151" i="4"/>
  <c r="I17" i="26" s="1"/>
  <c r="P150" i="4"/>
  <c r="I16" i="26" s="1"/>
  <c r="P149" i="4"/>
  <c r="P148" i="4"/>
  <c r="D19" i="2"/>
  <c r="E19" i="2" s="1"/>
  <c r="F19" i="2" s="1"/>
  <c r="D169" i="4"/>
  <c r="D170" i="4" s="1"/>
  <c r="D171" i="4" s="1"/>
  <c r="D172" i="4" s="1"/>
  <c r="D173" i="4" s="1"/>
  <c r="D174" i="4" s="1"/>
  <c r="D175" i="4" s="1"/>
  <c r="E175" i="4" s="1"/>
  <c r="C24" i="26" l="1"/>
  <c r="C25" i="2"/>
  <c r="AC74" i="26"/>
  <c r="AC49" i="28"/>
  <c r="AC73" i="26"/>
  <c r="L15" i="26"/>
  <c r="L13" i="26"/>
  <c r="K15" i="26"/>
  <c r="K13" i="26"/>
  <c r="J15" i="26"/>
  <c r="J13" i="26"/>
  <c r="L14" i="26"/>
  <c r="L12" i="26"/>
  <c r="J14" i="26"/>
  <c r="J12" i="26"/>
  <c r="K14" i="26"/>
  <c r="K12" i="26"/>
  <c r="I12" i="26"/>
  <c r="I14" i="26"/>
  <c r="I15" i="26"/>
  <c r="I13" i="26"/>
  <c r="J16" i="2"/>
  <c r="M17" i="2"/>
  <c r="J17" i="2"/>
  <c r="M16" i="2"/>
  <c r="M15" i="2"/>
  <c r="K17" i="2"/>
  <c r="K15" i="2"/>
  <c r="K18" i="2"/>
  <c r="K16" i="2"/>
  <c r="K13" i="2"/>
  <c r="L14" i="2"/>
  <c r="M13" i="2"/>
  <c r="L16" i="2"/>
  <c r="J18" i="2"/>
  <c r="L17" i="2"/>
  <c r="AC56" i="25"/>
  <c r="AC58" i="25" s="1"/>
  <c r="M14" i="2"/>
  <c r="K14" i="2"/>
  <c r="L13" i="2"/>
  <c r="L15" i="2"/>
  <c r="J13" i="2"/>
  <c r="J14" i="2"/>
  <c r="L18" i="2"/>
  <c r="J15" i="2"/>
  <c r="M18" i="2"/>
  <c r="AI72" i="4"/>
  <c r="F124" i="4"/>
  <c r="E172" i="4"/>
  <c r="E170" i="4"/>
  <c r="E171" i="4"/>
  <c r="E169" i="4"/>
  <c r="E174" i="4"/>
  <c r="E173" i="4"/>
  <c r="G19" i="2"/>
  <c r="C24" i="2" s="1"/>
  <c r="R54" i="26" l="1"/>
  <c r="S54" i="26"/>
  <c r="T54" i="26"/>
  <c r="P54" i="26"/>
  <c r="U54" i="26"/>
  <c r="V54" i="26"/>
  <c r="X54" i="26"/>
  <c r="Y54" i="26"/>
  <c r="Z54" i="26"/>
  <c r="AA54" i="26"/>
  <c r="AC54" i="26"/>
  <c r="AD54" i="26"/>
  <c r="AE54" i="26"/>
  <c r="W54" i="26"/>
  <c r="L54" i="26"/>
  <c r="K54" i="26"/>
  <c r="M54" i="26"/>
  <c r="J54" i="26"/>
  <c r="N54" i="26"/>
  <c r="O54" i="26"/>
  <c r="Q54" i="26"/>
  <c r="AB54" i="26"/>
  <c r="I54" i="26"/>
  <c r="H54" i="26"/>
  <c r="D54" i="26"/>
  <c r="E54" i="26"/>
  <c r="G54" i="26"/>
  <c r="C54" i="26"/>
  <c r="C35" i="26" s="1"/>
  <c r="F54" i="26"/>
  <c r="AF54" i="26"/>
  <c r="AG54" i="26"/>
  <c r="AH54" i="26"/>
  <c r="AI54" i="26"/>
  <c r="AJ54" i="26"/>
  <c r="AK54" i="26"/>
  <c r="AQ54" i="26"/>
  <c r="AL54" i="26"/>
  <c r="AM54" i="26"/>
  <c r="AN54" i="26"/>
  <c r="AO54" i="26"/>
  <c r="AP54" i="26"/>
  <c r="AT54" i="26"/>
  <c r="AR54" i="26"/>
  <c r="AS54" i="26"/>
  <c r="AU54" i="26"/>
  <c r="F65" i="26"/>
  <c r="C59" i="26"/>
  <c r="AF59" i="26"/>
  <c r="AH59" i="26"/>
  <c r="AG59" i="26"/>
  <c r="U64" i="26"/>
  <c r="T59" i="26"/>
  <c r="AA64" i="26"/>
  <c r="K59" i="26"/>
  <c r="AU64" i="26"/>
  <c r="AH64" i="26"/>
  <c r="AD74" i="26"/>
  <c r="AD49" i="28"/>
  <c r="F67" i="26"/>
  <c r="AD73" i="26"/>
  <c r="L20" i="26"/>
  <c r="AI64" i="26"/>
  <c r="E64" i="26"/>
  <c r="AT64" i="26"/>
  <c r="F59" i="26"/>
  <c r="AT59" i="26"/>
  <c r="C64" i="26"/>
  <c r="AS64" i="26"/>
  <c r="AT60" i="26"/>
  <c r="AS59" i="26"/>
  <c r="AT65" i="26"/>
  <c r="AR64" i="26"/>
  <c r="AS65" i="26"/>
  <c r="AI59" i="26"/>
  <c r="AK65" i="26"/>
  <c r="AJ60" i="26"/>
  <c r="X59" i="26"/>
  <c r="AR59" i="26"/>
  <c r="T64" i="26"/>
  <c r="AJ65" i="26"/>
  <c r="AA59" i="26"/>
  <c r="AI65" i="26"/>
  <c r="AQ59" i="26"/>
  <c r="N64" i="26"/>
  <c r="AI60" i="26"/>
  <c r="G64" i="26"/>
  <c r="AH60" i="26"/>
  <c r="AQ64" i="26"/>
  <c r="AK59" i="26"/>
  <c r="Y59" i="26"/>
  <c r="AB60" i="26"/>
  <c r="AK64" i="26"/>
  <c r="AJ64" i="26"/>
  <c r="W64" i="26"/>
  <c r="AB65" i="26"/>
  <c r="AJ59" i="26"/>
  <c r="L64" i="26"/>
  <c r="O65" i="26"/>
  <c r="T66" i="26"/>
  <c r="E61" i="26"/>
  <c r="AP59" i="26"/>
  <c r="AE59" i="26"/>
  <c r="V59" i="26"/>
  <c r="AS60" i="26"/>
  <c r="M65" i="26"/>
  <c r="K20" i="26"/>
  <c r="AP64" i="26"/>
  <c r="AE64" i="26"/>
  <c r="M59" i="26"/>
  <c r="AR65" i="26"/>
  <c r="N60" i="26"/>
  <c r="AO59" i="26"/>
  <c r="AD59" i="26"/>
  <c r="P64" i="26"/>
  <c r="AP60" i="26"/>
  <c r="S65" i="26"/>
  <c r="J20" i="26"/>
  <c r="AM59" i="26"/>
  <c r="AD64" i="26"/>
  <c r="O64" i="26"/>
  <c r="AP65" i="26"/>
  <c r="V65" i="26"/>
  <c r="AS61" i="26"/>
  <c r="AM64" i="26"/>
  <c r="AC64" i="26"/>
  <c r="M64" i="26"/>
  <c r="AL65" i="26"/>
  <c r="Y65" i="26"/>
  <c r="AS66" i="26"/>
  <c r="AL59" i="26"/>
  <c r="AC59" i="26"/>
  <c r="S64" i="26"/>
  <c r="AL60" i="26"/>
  <c r="I60" i="26"/>
  <c r="AU59" i="26"/>
  <c r="AL64" i="26"/>
  <c r="AB59" i="26"/>
  <c r="AK60" i="26"/>
  <c r="W65" i="26"/>
  <c r="N61" i="26"/>
  <c r="AL66" i="26"/>
  <c r="C66" i="26"/>
  <c r="AK61" i="26"/>
  <c r="AK66" i="26"/>
  <c r="AD61" i="26"/>
  <c r="AC61" i="26"/>
  <c r="S59" i="26"/>
  <c r="AC66" i="26"/>
  <c r="O61" i="26"/>
  <c r="S66" i="26"/>
  <c r="N59" i="26"/>
  <c r="Y60" i="26"/>
  <c r="X61" i="26"/>
  <c r="U66" i="26"/>
  <c r="R64" i="26"/>
  <c r="Q59" i="26"/>
  <c r="AH65" i="26"/>
  <c r="H65" i="26"/>
  <c r="Z61" i="26"/>
  <c r="X64" i="26"/>
  <c r="L59" i="26"/>
  <c r="AD65" i="26"/>
  <c r="O60" i="26"/>
  <c r="R61" i="26"/>
  <c r="AO64" i="26"/>
  <c r="AG64" i="26"/>
  <c r="Z64" i="26"/>
  <c r="G59" i="26"/>
  <c r="AR60" i="26"/>
  <c r="AD60" i="26"/>
  <c r="N65" i="26"/>
  <c r="D61" i="26"/>
  <c r="AN64" i="26"/>
  <c r="AF64" i="26"/>
  <c r="O59" i="26"/>
  <c r="H64" i="26"/>
  <c r="AQ60" i="26"/>
  <c r="AC65" i="26"/>
  <c r="L65" i="26"/>
  <c r="AT66" i="26"/>
  <c r="AN59" i="26"/>
  <c r="H59" i="26"/>
  <c r="I59" i="26"/>
  <c r="AQ65" i="26"/>
  <c r="AC60" i="26"/>
  <c r="R65" i="26"/>
  <c r="D66" i="26"/>
  <c r="G66" i="26"/>
  <c r="AR61" i="26"/>
  <c r="AJ61" i="26"/>
  <c r="AB66" i="26"/>
  <c r="K61" i="26"/>
  <c r="K66" i="26"/>
  <c r="I66" i="26"/>
  <c r="F61" i="26"/>
  <c r="L66" i="26"/>
  <c r="AQ61" i="26"/>
  <c r="G61" i="26"/>
  <c r="R66" i="26"/>
  <c r="I61" i="26"/>
  <c r="X66" i="26"/>
  <c r="P61" i="26"/>
  <c r="L61" i="26"/>
  <c r="V66" i="26"/>
  <c r="AO61" i="26"/>
  <c r="AG61" i="26"/>
  <c r="P66" i="26"/>
  <c r="J66" i="26"/>
  <c r="W66" i="26"/>
  <c r="AB64" i="26"/>
  <c r="Z59" i="26"/>
  <c r="J59" i="26"/>
  <c r="E59" i="26"/>
  <c r="AO60" i="26"/>
  <c r="AG60" i="26"/>
  <c r="P65" i="26"/>
  <c r="Z60" i="26"/>
  <c r="AJ66" i="26"/>
  <c r="AI66" i="26"/>
  <c r="AP61" i="26"/>
  <c r="M66" i="26"/>
  <c r="AN66" i="26"/>
  <c r="AF61" i="26"/>
  <c r="J61" i="26"/>
  <c r="O66" i="26"/>
  <c r="Z66" i="26"/>
  <c r="I64" i="26"/>
  <c r="Y64" i="26"/>
  <c r="F64" i="26"/>
  <c r="AO65" i="26"/>
  <c r="AG65" i="26"/>
  <c r="W60" i="26"/>
  <c r="U60" i="26"/>
  <c r="AR66" i="26"/>
  <c r="AI61" i="26"/>
  <c r="Q61" i="26"/>
  <c r="AH61" i="26"/>
  <c r="AN61" i="26"/>
  <c r="AF66" i="26"/>
  <c r="U61" i="26"/>
  <c r="Y66" i="26"/>
  <c r="AA66" i="26"/>
  <c r="W59" i="26"/>
  <c r="K64" i="26"/>
  <c r="D64" i="26"/>
  <c r="AN65" i="26"/>
  <c r="AF65" i="26"/>
  <c r="Q65" i="26"/>
  <c r="L60" i="26"/>
  <c r="AB61" i="26"/>
  <c r="T61" i="26"/>
  <c r="W61" i="26"/>
  <c r="I20" i="26"/>
  <c r="S61" i="26"/>
  <c r="AU61" i="26"/>
  <c r="AM61" i="26"/>
  <c r="AE66" i="26"/>
  <c r="V61" i="26"/>
  <c r="AA61" i="26"/>
  <c r="Q64" i="26"/>
  <c r="P59" i="26"/>
  <c r="J64" i="26"/>
  <c r="D59" i="26"/>
  <c r="AN60" i="26"/>
  <c r="AF60" i="26"/>
  <c r="R60" i="26"/>
  <c r="G60" i="26"/>
  <c r="M61" i="26"/>
  <c r="AP66" i="26"/>
  <c r="AG66" i="26"/>
  <c r="AU66" i="26"/>
  <c r="AM66" i="26"/>
  <c r="AE61" i="26"/>
  <c r="H66" i="26"/>
  <c r="Y61" i="26"/>
  <c r="H61" i="26"/>
  <c r="R59" i="26"/>
  <c r="U59" i="26"/>
  <c r="AU65" i="26"/>
  <c r="AM60" i="26"/>
  <c r="AE65" i="26"/>
  <c r="Z65" i="26"/>
  <c r="H60" i="26"/>
  <c r="AQ66" i="26"/>
  <c r="AH66" i="26"/>
  <c r="AO66" i="26"/>
  <c r="AT61" i="26"/>
  <c r="AL61" i="26"/>
  <c r="AD66" i="26"/>
  <c r="Q66" i="26"/>
  <c r="N66" i="26"/>
  <c r="V64" i="26"/>
  <c r="AU60" i="26"/>
  <c r="AM65" i="26"/>
  <c r="AE60" i="26"/>
  <c r="M60" i="26"/>
  <c r="U65" i="26"/>
  <c r="G65" i="26"/>
  <c r="F66" i="26"/>
  <c r="S60" i="26"/>
  <c r="C65" i="26"/>
  <c r="D60" i="26"/>
  <c r="D65" i="26"/>
  <c r="E60" i="26"/>
  <c r="E65" i="26"/>
  <c r="AP62" i="26"/>
  <c r="AO67" i="26"/>
  <c r="AH67" i="26"/>
  <c r="AG62" i="26"/>
  <c r="C61" i="26"/>
  <c r="T65" i="26"/>
  <c r="J60" i="26"/>
  <c r="AG67" i="26"/>
  <c r="E66" i="26"/>
  <c r="K60" i="26"/>
  <c r="I65" i="26"/>
  <c r="AF67" i="26"/>
  <c r="P60" i="26"/>
  <c r="X65" i="26"/>
  <c r="AF62" i="26"/>
  <c r="AE62" i="26"/>
  <c r="AE67" i="26"/>
  <c r="AD62" i="26"/>
  <c r="AA67" i="26"/>
  <c r="H62" i="26"/>
  <c r="AU67" i="26"/>
  <c r="R62" i="26"/>
  <c r="AU62" i="26"/>
  <c r="Y67" i="26"/>
  <c r="Q60" i="26"/>
  <c r="AA60" i="26"/>
  <c r="AT67" i="26"/>
  <c r="L62" i="26"/>
  <c r="J65" i="26"/>
  <c r="AQ67" i="26"/>
  <c r="V62" i="26"/>
  <c r="T60" i="26"/>
  <c r="K65" i="26"/>
  <c r="AP67" i="26"/>
  <c r="O62" i="26"/>
  <c r="O67" i="26"/>
  <c r="J62" i="26"/>
  <c r="AO62" i="26"/>
  <c r="Q67" i="26"/>
  <c r="P62" i="26"/>
  <c r="AN67" i="26"/>
  <c r="Z67" i="26"/>
  <c r="I62" i="26"/>
  <c r="AN62" i="26"/>
  <c r="Z62" i="26"/>
  <c r="AA62" i="26"/>
  <c r="AM67" i="26"/>
  <c r="K67" i="26"/>
  <c r="S62" i="26"/>
  <c r="AM62" i="26"/>
  <c r="T62" i="26"/>
  <c r="M62" i="26"/>
  <c r="V60" i="26"/>
  <c r="C60" i="26"/>
  <c r="AL67" i="26"/>
  <c r="N67" i="26"/>
  <c r="V67" i="26"/>
  <c r="X60" i="26"/>
  <c r="F60" i="26"/>
  <c r="AI62" i="26"/>
  <c r="J67" i="26"/>
  <c r="U67" i="26"/>
  <c r="AA65" i="26"/>
  <c r="AH62" i="26"/>
  <c r="T67" i="26"/>
  <c r="S67" i="26"/>
  <c r="X62" i="26"/>
  <c r="P67" i="26"/>
  <c r="M67" i="26"/>
  <c r="C62" i="26"/>
  <c r="N62" i="26"/>
  <c r="E62" i="26"/>
  <c r="AT62" i="26"/>
  <c r="AL62" i="26"/>
  <c r="AD67" i="26"/>
  <c r="R67" i="26"/>
  <c r="L67" i="26"/>
  <c r="D67" i="26"/>
  <c r="AS67" i="26"/>
  <c r="AK67" i="26"/>
  <c r="AC67" i="26"/>
  <c r="Q62" i="26"/>
  <c r="H67" i="26"/>
  <c r="E67" i="26"/>
  <c r="AS62" i="26"/>
  <c r="AK62" i="26"/>
  <c r="AC62" i="26"/>
  <c r="K62" i="26"/>
  <c r="U62" i="26"/>
  <c r="D62" i="26"/>
  <c r="AR67" i="26"/>
  <c r="AJ62" i="26"/>
  <c r="AB62" i="26"/>
  <c r="G62" i="26"/>
  <c r="I67" i="26"/>
  <c r="F62" i="26"/>
  <c r="AR62" i="26"/>
  <c r="AJ67" i="26"/>
  <c r="AB67" i="26"/>
  <c r="Y62" i="26"/>
  <c r="W62" i="26"/>
  <c r="C67" i="26"/>
  <c r="AQ62" i="26"/>
  <c r="AI67" i="26"/>
  <c r="W67" i="26"/>
  <c r="X67" i="26"/>
  <c r="G67" i="26"/>
  <c r="K19" i="2"/>
  <c r="C25" i="25"/>
  <c r="AD56" i="25"/>
  <c r="AD58" i="25" s="1"/>
  <c r="AJ72" i="4"/>
  <c r="L19" i="2"/>
  <c r="H19" i="2"/>
  <c r="J19" i="2"/>
  <c r="M19" i="2"/>
  <c r="D45" i="9"/>
  <c r="C12" i="9"/>
  <c r="C9" i="9"/>
  <c r="D418" i="4"/>
  <c r="D419" i="4"/>
  <c r="C41" i="13" s="1"/>
  <c r="C42" i="13" s="1"/>
  <c r="C72" i="4"/>
  <c r="C13" i="5"/>
  <c r="C36" i="5" s="1"/>
  <c r="E7" i="34"/>
  <c r="AB70" i="26" l="1"/>
  <c r="AT70" i="26"/>
  <c r="AN69" i="26"/>
  <c r="Z69" i="26"/>
  <c r="F69" i="26"/>
  <c r="AK70" i="26"/>
  <c r="S71" i="26"/>
  <c r="AF69" i="26"/>
  <c r="Z70" i="26"/>
  <c r="T70" i="26"/>
  <c r="P70" i="26"/>
  <c r="E69" i="26"/>
  <c r="AT69" i="26"/>
  <c r="AL69" i="26"/>
  <c r="H70" i="26"/>
  <c r="AK69" i="26"/>
  <c r="K69" i="26"/>
  <c r="AQ69" i="26"/>
  <c r="D69" i="26"/>
  <c r="J70" i="26"/>
  <c r="AO71" i="26"/>
  <c r="F70" i="26"/>
  <c r="J20" i="2"/>
  <c r="K20" i="2" s="1"/>
  <c r="AT71" i="26"/>
  <c r="O69" i="26"/>
  <c r="R69" i="26"/>
  <c r="H69" i="26"/>
  <c r="AC70" i="26"/>
  <c r="L70" i="26"/>
  <c r="AS71" i="26"/>
  <c r="X69" i="26"/>
  <c r="S70" i="26"/>
  <c r="AJ74" i="2"/>
  <c r="E74" i="2"/>
  <c r="U74" i="2"/>
  <c r="AK74" i="2"/>
  <c r="F74" i="2"/>
  <c r="V74" i="2"/>
  <c r="AL74" i="2"/>
  <c r="G74" i="2"/>
  <c r="W74" i="2"/>
  <c r="AM74" i="2"/>
  <c r="H74" i="2"/>
  <c r="X74" i="2"/>
  <c r="AN74" i="2"/>
  <c r="I74" i="2"/>
  <c r="C74" i="2"/>
  <c r="Y74" i="2"/>
  <c r="AO74" i="2"/>
  <c r="J74" i="2"/>
  <c r="T74" i="2"/>
  <c r="Z74" i="2"/>
  <c r="AP74" i="2"/>
  <c r="K74" i="2"/>
  <c r="AA74" i="2"/>
  <c r="AQ74" i="2"/>
  <c r="L74" i="2"/>
  <c r="AB74" i="2"/>
  <c r="AR74" i="2"/>
  <c r="M74" i="2"/>
  <c r="AS74" i="2"/>
  <c r="N74" i="2"/>
  <c r="AC74" i="2"/>
  <c r="AD74" i="2"/>
  <c r="AT74" i="2"/>
  <c r="O74" i="2"/>
  <c r="AG74" i="2"/>
  <c r="AH74" i="2"/>
  <c r="AE74" i="2"/>
  <c r="AU74" i="2"/>
  <c r="P74" i="2"/>
  <c r="S74" i="2"/>
  <c r="D74" i="2"/>
  <c r="AF74" i="2"/>
  <c r="R74" i="2"/>
  <c r="Q74" i="2"/>
  <c r="AI74" i="2"/>
  <c r="L20" i="2"/>
  <c r="M20" i="2" s="1"/>
  <c r="AI70" i="26"/>
  <c r="AH71" i="26"/>
  <c r="AD50" i="28"/>
  <c r="C59" i="35"/>
  <c r="D59" i="35"/>
  <c r="E59" i="35"/>
  <c r="F59" i="35"/>
  <c r="G59" i="35"/>
  <c r="F32" i="35" s="1"/>
  <c r="H59" i="35"/>
  <c r="I59" i="35"/>
  <c r="J59" i="35"/>
  <c r="K59" i="35"/>
  <c r="L59" i="35"/>
  <c r="F33" i="35" s="1"/>
  <c r="M59" i="35"/>
  <c r="N59" i="35"/>
  <c r="O59" i="35"/>
  <c r="P59" i="35"/>
  <c r="Q59" i="35"/>
  <c r="F34" i="35" s="1"/>
  <c r="R59" i="35"/>
  <c r="S59" i="35"/>
  <c r="T59" i="35"/>
  <c r="U59" i="35"/>
  <c r="V59" i="35"/>
  <c r="F35" i="35" s="1"/>
  <c r="W59" i="35"/>
  <c r="X59" i="35"/>
  <c r="Y59" i="35"/>
  <c r="Z59" i="35"/>
  <c r="AA59" i="35"/>
  <c r="F36" i="35" s="1"/>
  <c r="AB59" i="35"/>
  <c r="AC59" i="35"/>
  <c r="AD59" i="35"/>
  <c r="AE59" i="35"/>
  <c r="AF59" i="35"/>
  <c r="AG59" i="35"/>
  <c r="AH59" i="35"/>
  <c r="AI59" i="35"/>
  <c r="AJ59" i="35"/>
  <c r="AK59" i="35"/>
  <c r="AL59" i="35"/>
  <c r="AM59" i="35"/>
  <c r="AN59" i="35"/>
  <c r="AO59" i="35"/>
  <c r="AP59" i="35"/>
  <c r="AQ59" i="35"/>
  <c r="AR59" i="35"/>
  <c r="AS59" i="35"/>
  <c r="AT59" i="35"/>
  <c r="AU59" i="35"/>
  <c r="AA50" i="28"/>
  <c r="F29" i="28" s="1"/>
  <c r="AK50" i="28"/>
  <c r="AL50" i="28"/>
  <c r="AM50" i="28"/>
  <c r="AN50" i="28"/>
  <c r="AO50" i="28"/>
  <c r="AP50" i="28"/>
  <c r="AQ50" i="28"/>
  <c r="AR50" i="28"/>
  <c r="AS50" i="28"/>
  <c r="AT50" i="28"/>
  <c r="AU50" i="28"/>
  <c r="AB50" i="28"/>
  <c r="AC50" i="28"/>
  <c r="I71" i="26"/>
  <c r="N71" i="26"/>
  <c r="Y71" i="26"/>
  <c r="AA70" i="26"/>
  <c r="AJ70" i="26"/>
  <c r="V70" i="26"/>
  <c r="N69" i="26"/>
  <c r="W69" i="26"/>
  <c r="AM71" i="26"/>
  <c r="AP71" i="26"/>
  <c r="AL70" i="26"/>
  <c r="AI71" i="26"/>
  <c r="AB71" i="26"/>
  <c r="AE74" i="26"/>
  <c r="AE49" i="28"/>
  <c r="AE50" i="28" s="1"/>
  <c r="AE73" i="26"/>
  <c r="AJ71" i="26"/>
  <c r="AK71" i="26"/>
  <c r="U69" i="26"/>
  <c r="AO69" i="26"/>
  <c r="M71" i="26"/>
  <c r="AN71" i="26"/>
  <c r="W71" i="26"/>
  <c r="AS69" i="26"/>
  <c r="M70" i="26"/>
  <c r="C70" i="26"/>
  <c r="AN70" i="26"/>
  <c r="AR69" i="26"/>
  <c r="C71" i="26"/>
  <c r="AH69" i="26"/>
  <c r="AJ69" i="26"/>
  <c r="G71" i="26"/>
  <c r="M69" i="26"/>
  <c r="Q69" i="26"/>
  <c r="AC71" i="26"/>
  <c r="AL71" i="26"/>
  <c r="V69" i="26"/>
  <c r="AF70" i="26"/>
  <c r="O71" i="26"/>
  <c r="G70" i="26"/>
  <c r="AR70" i="26"/>
  <c r="AI69" i="26"/>
  <c r="F71" i="26"/>
  <c r="L69" i="26"/>
  <c r="L71" i="26"/>
  <c r="AD71" i="26"/>
  <c r="W70" i="26"/>
  <c r="AR71" i="26"/>
  <c r="T69" i="26"/>
  <c r="J69" i="26"/>
  <c r="AU70" i="26"/>
  <c r="D71" i="26"/>
  <c r="AQ71" i="26"/>
  <c r="AM69" i="26"/>
  <c r="O70" i="26"/>
  <c r="AG69" i="26"/>
  <c r="U71" i="26"/>
  <c r="AH70" i="26"/>
  <c r="E71" i="26"/>
  <c r="H71" i="26"/>
  <c r="I70" i="26"/>
  <c r="S69" i="26"/>
  <c r="AP70" i="26"/>
  <c r="AD69" i="26"/>
  <c r="AO70" i="26"/>
  <c r="AC69" i="26"/>
  <c r="AS70" i="26"/>
  <c r="K70" i="26"/>
  <c r="K71" i="26"/>
  <c r="AE70" i="26"/>
  <c r="AP69" i="26"/>
  <c r="Z71" i="26"/>
  <c r="AB69" i="26"/>
  <c r="AM70" i="26"/>
  <c r="AE69" i="26"/>
  <c r="AF71" i="26"/>
  <c r="AG71" i="26"/>
  <c r="AU71" i="26"/>
  <c r="R71" i="26"/>
  <c r="P71" i="26"/>
  <c r="R70" i="26"/>
  <c r="D70" i="26"/>
  <c r="AA69" i="26"/>
  <c r="U70" i="26"/>
  <c r="AQ70" i="26"/>
  <c r="AE71" i="26"/>
  <c r="V71" i="26"/>
  <c r="P69" i="26"/>
  <c r="Y69" i="26"/>
  <c r="Y70" i="26"/>
  <c r="AG70" i="26"/>
  <c r="N70" i="26"/>
  <c r="I69" i="26"/>
  <c r="G69" i="26"/>
  <c r="Q70" i="26"/>
  <c r="Q71" i="26"/>
  <c r="X70" i="26"/>
  <c r="AD70" i="26"/>
  <c r="AU69" i="26"/>
  <c r="T71" i="26"/>
  <c r="E70" i="26"/>
  <c r="J71" i="26"/>
  <c r="X71" i="26"/>
  <c r="C69" i="26"/>
  <c r="AA71" i="26"/>
  <c r="AE56" i="25"/>
  <c r="AE58" i="25" s="1"/>
  <c r="AK72" i="4"/>
  <c r="C56" i="25"/>
  <c r="C58" i="25" s="1"/>
  <c r="C19" i="20"/>
  <c r="D55" i="24"/>
  <c r="E55" i="24"/>
  <c r="F55" i="24"/>
  <c r="G55" i="24"/>
  <c r="H55" i="24"/>
  <c r="F30" i="24" s="1"/>
  <c r="I55" i="24"/>
  <c r="J55" i="24"/>
  <c r="K55" i="24"/>
  <c r="L55" i="24"/>
  <c r="M55" i="24"/>
  <c r="F31" i="24" s="1"/>
  <c r="N55" i="24"/>
  <c r="O55" i="24"/>
  <c r="P55" i="24"/>
  <c r="Q55" i="24"/>
  <c r="R55" i="24"/>
  <c r="F32" i="24" s="1"/>
  <c r="S55" i="24"/>
  <c r="T55" i="24"/>
  <c r="U55" i="24"/>
  <c r="V55" i="24"/>
  <c r="W55" i="24"/>
  <c r="F33" i="24" s="1"/>
  <c r="X55" i="24"/>
  <c r="Y55" i="24"/>
  <c r="Z55" i="24"/>
  <c r="AA55" i="24"/>
  <c r="AB55" i="24"/>
  <c r="F34" i="24" s="1"/>
  <c r="AC55" i="24"/>
  <c r="AD55" i="24"/>
  <c r="AE55" i="24"/>
  <c r="AF55" i="24"/>
  <c r="AG55" i="24"/>
  <c r="AH55" i="24"/>
  <c r="AI55" i="24"/>
  <c r="AJ55" i="24"/>
  <c r="AK55" i="24"/>
  <c r="AL55" i="24"/>
  <c r="AM55" i="24"/>
  <c r="AN55" i="24"/>
  <c r="AO55" i="24"/>
  <c r="AP55" i="24"/>
  <c r="AQ55" i="24"/>
  <c r="AR55" i="24"/>
  <c r="AS55" i="24"/>
  <c r="AT55" i="24"/>
  <c r="AU55" i="24"/>
  <c r="AV55" i="24"/>
  <c r="D80" i="13"/>
  <c r="E80" i="13"/>
  <c r="F80" i="13"/>
  <c r="G80" i="13"/>
  <c r="H80" i="13"/>
  <c r="I80" i="13"/>
  <c r="J80" i="13"/>
  <c r="K80" i="13"/>
  <c r="L80" i="13"/>
  <c r="M80" i="13"/>
  <c r="N80" i="13"/>
  <c r="O80" i="13"/>
  <c r="P80" i="13"/>
  <c r="Q80" i="13"/>
  <c r="R80" i="13"/>
  <c r="S80" i="13"/>
  <c r="T80" i="13"/>
  <c r="U80" i="13"/>
  <c r="V80" i="13"/>
  <c r="W80" i="13"/>
  <c r="X80" i="13"/>
  <c r="Y80" i="13"/>
  <c r="Z80" i="13"/>
  <c r="AA80" i="13"/>
  <c r="AB80" i="13"/>
  <c r="AC80" i="13"/>
  <c r="AD80" i="13"/>
  <c r="AE80" i="13"/>
  <c r="AF80" i="13"/>
  <c r="AG80" i="13"/>
  <c r="AH80" i="13"/>
  <c r="AI80" i="13"/>
  <c r="AJ80" i="13"/>
  <c r="AK80" i="13"/>
  <c r="AL80" i="13"/>
  <c r="AM80" i="13"/>
  <c r="AN80" i="13"/>
  <c r="AO80" i="13"/>
  <c r="AP80" i="13"/>
  <c r="AQ80" i="13"/>
  <c r="AR80" i="13"/>
  <c r="AS80" i="13"/>
  <c r="AT80" i="13"/>
  <c r="AU80" i="13"/>
  <c r="AV80" i="13"/>
  <c r="C23" i="9"/>
  <c r="D72" i="4"/>
  <c r="E72" i="4" s="1"/>
  <c r="F72" i="4" s="1"/>
  <c r="G72" i="4" s="1"/>
  <c r="H72" i="4" s="1"/>
  <c r="AB75" i="2"/>
  <c r="E45" i="9"/>
  <c r="E54" i="8"/>
  <c r="C10" i="7"/>
  <c r="C289" i="4"/>
  <c r="D17" i="4"/>
  <c r="C17" i="4"/>
  <c r="D16" i="4"/>
  <c r="C16" i="4"/>
  <c r="D34" i="4"/>
  <c r="M7" i="4" s="1"/>
  <c r="E34" i="4"/>
  <c r="C34" i="4"/>
  <c r="M3" i="5"/>
  <c r="H3" i="5"/>
  <c r="I3" i="5"/>
  <c r="C44" i="5"/>
  <c r="C18" i="5"/>
  <c r="C51" i="2"/>
  <c r="D51" i="2" s="1"/>
  <c r="E51" i="2" s="1"/>
  <c r="F51" i="2" s="1"/>
  <c r="G51" i="2" s="1"/>
  <c r="H51" i="2" s="1"/>
  <c r="I51" i="2" s="1"/>
  <c r="J51" i="2" s="1"/>
  <c r="K51" i="2" s="1"/>
  <c r="L51" i="2" s="1"/>
  <c r="M51" i="2" s="1"/>
  <c r="N51" i="2" s="1"/>
  <c r="O51" i="2" s="1"/>
  <c r="P51" i="2" s="1"/>
  <c r="Q51" i="2" s="1"/>
  <c r="R51" i="2" s="1"/>
  <c r="S51" i="2" s="1"/>
  <c r="T51" i="2" s="1"/>
  <c r="U51" i="2" s="1"/>
  <c r="V51" i="2" s="1"/>
  <c r="W51" i="2" s="1"/>
  <c r="X51" i="2" s="1"/>
  <c r="Y51" i="2" s="1"/>
  <c r="Z51" i="2" s="1"/>
  <c r="AA51" i="2" s="1"/>
  <c r="AB51" i="2" s="1"/>
  <c r="AC51" i="2" s="1"/>
  <c r="AD51" i="2" s="1"/>
  <c r="AE51" i="2" s="1"/>
  <c r="AF51" i="2" s="1"/>
  <c r="AG51" i="2" s="1"/>
  <c r="AH51" i="2" s="1"/>
  <c r="AI51" i="2" s="1"/>
  <c r="AJ51" i="2" s="1"/>
  <c r="AK51" i="2" s="1"/>
  <c r="AL51" i="2" s="1"/>
  <c r="AM51" i="2" s="1"/>
  <c r="AN51" i="2" s="1"/>
  <c r="AO51" i="2" s="1"/>
  <c r="W13" i="34"/>
  <c r="V13" i="34"/>
  <c r="U13" i="34"/>
  <c r="V25" i="34"/>
  <c r="X25" i="34"/>
  <c r="W25" i="34"/>
  <c r="U25" i="34"/>
  <c r="X13" i="34"/>
  <c r="T25" i="34"/>
  <c r="T13" i="34"/>
  <c r="D9" i="34"/>
  <c r="X10" i="34"/>
  <c r="Z68" i="26" l="1"/>
  <c r="Z55" i="26" s="1"/>
  <c r="Z56" i="26" s="1"/>
  <c r="AT75" i="26"/>
  <c r="AN75" i="26"/>
  <c r="AK75" i="26"/>
  <c r="AT68" i="26"/>
  <c r="AT55" i="26" s="1"/>
  <c r="AT56" i="26" s="1"/>
  <c r="AK68" i="26"/>
  <c r="AK55" i="26" s="1"/>
  <c r="AK56" i="26" s="1"/>
  <c r="F68" i="26"/>
  <c r="F55" i="26" s="1"/>
  <c r="F56" i="26" s="1"/>
  <c r="M8" i="4"/>
  <c r="F34" i="4"/>
  <c r="M6" i="4"/>
  <c r="G7" i="4"/>
  <c r="G39" i="34"/>
  <c r="D44" i="20"/>
  <c r="E44" i="20" s="1"/>
  <c r="E48" i="20" s="1"/>
  <c r="N7" i="4"/>
  <c r="D51" i="34"/>
  <c r="AQ68" i="26"/>
  <c r="AQ55" i="26" s="1"/>
  <c r="AQ56" i="26" s="1"/>
  <c r="E46" i="9"/>
  <c r="H68" i="26"/>
  <c r="H55" i="26" s="1"/>
  <c r="H56" i="26" s="1"/>
  <c r="S68" i="26"/>
  <c r="S55" i="26" s="1"/>
  <c r="S56" i="26" s="1"/>
  <c r="AA75" i="26"/>
  <c r="F39" i="26" s="1"/>
  <c r="N68" i="26"/>
  <c r="N55" i="26" s="1"/>
  <c r="N56" i="26" s="1"/>
  <c r="I68" i="26"/>
  <c r="I55" i="26" s="1"/>
  <c r="I56" i="26" s="1"/>
  <c r="D46" i="9"/>
  <c r="D50" i="9" s="1"/>
  <c r="AI68" i="26"/>
  <c r="AI55" i="26" s="1"/>
  <c r="AI56" i="26" s="1"/>
  <c r="AN68" i="26"/>
  <c r="AN55" i="26" s="1"/>
  <c r="AN56" i="26" s="1"/>
  <c r="AL68" i="26"/>
  <c r="AL55" i="26" s="1"/>
  <c r="AL56" i="26" s="1"/>
  <c r="AB68" i="26"/>
  <c r="AB55" i="26" s="1"/>
  <c r="AB56" i="26" s="1"/>
  <c r="J68" i="26"/>
  <c r="J55" i="26" s="1"/>
  <c r="J56" i="26" s="1"/>
  <c r="AU75" i="26"/>
  <c r="AC68" i="26"/>
  <c r="AC55" i="26" s="1"/>
  <c r="AC56" i="26" s="1"/>
  <c r="O68" i="26"/>
  <c r="O55" i="26" s="1"/>
  <c r="O56" i="26" s="1"/>
  <c r="AP75" i="26"/>
  <c r="W68" i="26"/>
  <c r="W55" i="26" s="1"/>
  <c r="W56" i="26" s="1"/>
  <c r="AJ68" i="26"/>
  <c r="AJ55" i="26" s="1"/>
  <c r="AJ56" i="26" s="1"/>
  <c r="AC75" i="26"/>
  <c r="AQ75" i="26"/>
  <c r="AF74" i="26"/>
  <c r="AF49" i="28"/>
  <c r="AF50" i="28" s="1"/>
  <c r="AO75" i="26"/>
  <c r="M68" i="26"/>
  <c r="M55" i="26" s="1"/>
  <c r="M56" i="26" s="1"/>
  <c r="G68" i="26"/>
  <c r="G55" i="26" s="1"/>
  <c r="G56" i="26" s="1"/>
  <c r="AF68" i="26"/>
  <c r="AF55" i="26" s="1"/>
  <c r="AF56" i="26" s="1"/>
  <c r="AM75" i="26"/>
  <c r="AF73" i="26"/>
  <c r="AS68" i="26"/>
  <c r="AS55" i="26" s="1"/>
  <c r="AS56" i="26" s="1"/>
  <c r="C74" i="26"/>
  <c r="C49" i="28"/>
  <c r="C50" i="28" s="1"/>
  <c r="C73" i="26"/>
  <c r="V68" i="26"/>
  <c r="V55" i="26" s="1"/>
  <c r="V56" i="26" s="1"/>
  <c r="L68" i="26"/>
  <c r="L55" i="26" s="1"/>
  <c r="L56" i="26" s="1"/>
  <c r="AH68" i="26"/>
  <c r="AH55" i="26" s="1"/>
  <c r="AH56" i="26" s="1"/>
  <c r="AR68" i="26"/>
  <c r="AR55" i="26" s="1"/>
  <c r="AR56" i="26" s="1"/>
  <c r="P68" i="26"/>
  <c r="P55" i="26" s="1"/>
  <c r="P56" i="26" s="1"/>
  <c r="AO68" i="26"/>
  <c r="AO55" i="26" s="1"/>
  <c r="AO56" i="26" s="1"/>
  <c r="AB75" i="26"/>
  <c r="AM68" i="26"/>
  <c r="AM55" i="26" s="1"/>
  <c r="AM56" i="26" s="1"/>
  <c r="AR75" i="26"/>
  <c r="T68" i="26"/>
  <c r="T55" i="26" s="1"/>
  <c r="T56" i="26" s="1"/>
  <c r="AS75" i="26"/>
  <c r="AD75" i="26"/>
  <c r="AG68" i="26"/>
  <c r="AG55" i="26" s="1"/>
  <c r="AG56" i="26" s="1"/>
  <c r="AP68" i="26"/>
  <c r="AP55" i="26" s="1"/>
  <c r="AP56" i="26" s="1"/>
  <c r="AE75" i="26"/>
  <c r="K68" i="26"/>
  <c r="K55" i="26" s="1"/>
  <c r="K56" i="26" s="1"/>
  <c r="AU68" i="26"/>
  <c r="AU55" i="26" s="1"/>
  <c r="AU56" i="26" s="1"/>
  <c r="D68" i="26"/>
  <c r="D55" i="26" s="1"/>
  <c r="D56" i="26" s="1"/>
  <c r="R68" i="26"/>
  <c r="R55" i="26" s="1"/>
  <c r="R56" i="26" s="1"/>
  <c r="Y68" i="26"/>
  <c r="Y55" i="26" s="1"/>
  <c r="Y56" i="26" s="1"/>
  <c r="E68" i="26"/>
  <c r="E55" i="26" s="1"/>
  <c r="E56" i="26" s="1"/>
  <c r="AE68" i="26"/>
  <c r="AE55" i="26" s="1"/>
  <c r="AE56" i="26" s="1"/>
  <c r="U68" i="26"/>
  <c r="U55" i="26" s="1"/>
  <c r="U56" i="26" s="1"/>
  <c r="AD68" i="26"/>
  <c r="AD55" i="26" s="1"/>
  <c r="AD56" i="26" s="1"/>
  <c r="AA68" i="26"/>
  <c r="AA55" i="26" s="1"/>
  <c r="AA56" i="26" s="1"/>
  <c r="X68" i="26"/>
  <c r="X55" i="26" s="1"/>
  <c r="X56" i="26" s="1"/>
  <c r="Q68" i="26"/>
  <c r="Q55" i="26" s="1"/>
  <c r="Q56" i="26" s="1"/>
  <c r="AL75" i="26"/>
  <c r="Z51" i="25"/>
  <c r="I51" i="25"/>
  <c r="AL72" i="4"/>
  <c r="AF56" i="25"/>
  <c r="AF58" i="25" s="1"/>
  <c r="I72" i="4"/>
  <c r="C34" i="24"/>
  <c r="C36" i="24"/>
  <c r="C31" i="20"/>
  <c r="E55" i="8"/>
  <c r="E56" i="8" s="1"/>
  <c r="C14" i="7"/>
  <c r="D62" i="13"/>
  <c r="D63" i="13"/>
  <c r="C75" i="2"/>
  <c r="AC75" i="2"/>
  <c r="F45" i="9"/>
  <c r="F46" i="9" s="1"/>
  <c r="F54" i="8"/>
  <c r="C45" i="5"/>
  <c r="C48" i="5" s="1"/>
  <c r="D44" i="5"/>
  <c r="AP51" i="2"/>
  <c r="AQ51" i="2" s="1"/>
  <c r="AO52" i="2"/>
  <c r="AO55" i="2" s="1"/>
  <c r="AH52" i="2"/>
  <c r="AH55" i="2" s="1"/>
  <c r="AJ52" i="2"/>
  <c r="AJ55" i="2" s="1"/>
  <c r="AI52" i="2"/>
  <c r="AI55" i="2" s="1"/>
  <c r="AK52" i="2"/>
  <c r="AK55" i="2" s="1"/>
  <c r="AL52" i="2"/>
  <c r="AL55" i="2" s="1"/>
  <c r="AM52" i="2"/>
  <c r="AM55" i="2" s="1"/>
  <c r="AN52" i="2"/>
  <c r="AN55" i="2" s="1"/>
  <c r="J25" i="34"/>
  <c r="H25" i="34"/>
  <c r="H22" i="34"/>
  <c r="I25" i="34"/>
  <c r="F44" i="20" l="1"/>
  <c r="G44" i="20" s="1"/>
  <c r="D48" i="20"/>
  <c r="N8" i="4"/>
  <c r="D52" i="34"/>
  <c r="N6" i="4"/>
  <c r="D50" i="34"/>
  <c r="D65" i="34" s="1"/>
  <c r="I36" i="34"/>
  <c r="E36" i="34" s="1"/>
  <c r="F36" i="34" s="1"/>
  <c r="G6" i="4"/>
  <c r="AF51" i="27"/>
  <c r="D47" i="9"/>
  <c r="D54" i="9" s="1"/>
  <c r="D49" i="9"/>
  <c r="AN51" i="27"/>
  <c r="AF75" i="26"/>
  <c r="AT51" i="27"/>
  <c r="AM51" i="27"/>
  <c r="AS51" i="27"/>
  <c r="AR51" i="27"/>
  <c r="D51" i="27"/>
  <c r="AQ51" i="27"/>
  <c r="AP51" i="27"/>
  <c r="AL51" i="27"/>
  <c r="C75" i="26"/>
  <c r="AO51" i="27"/>
  <c r="AG73" i="26"/>
  <c r="AK51" i="27"/>
  <c r="AA51" i="27"/>
  <c r="C51" i="27"/>
  <c r="C52" i="27" s="1"/>
  <c r="AD51" i="27"/>
  <c r="D73" i="26"/>
  <c r="AE51" i="27"/>
  <c r="AC51" i="27"/>
  <c r="AB51" i="27"/>
  <c r="AG74" i="26"/>
  <c r="AG49" i="28"/>
  <c r="AG50" i="28" s="1"/>
  <c r="AG51" i="27"/>
  <c r="AU51" i="27"/>
  <c r="Y51" i="25"/>
  <c r="AR51" i="25"/>
  <c r="W51" i="25"/>
  <c r="AC51" i="25"/>
  <c r="M51" i="25"/>
  <c r="F51" i="25"/>
  <c r="AA51" i="25"/>
  <c r="AQ51" i="25"/>
  <c r="AL51" i="25"/>
  <c r="X51" i="25"/>
  <c r="N51" i="25"/>
  <c r="AT51" i="25"/>
  <c r="AD51" i="25"/>
  <c r="AS51" i="25"/>
  <c r="L51" i="25"/>
  <c r="AU51" i="25"/>
  <c r="H51" i="25"/>
  <c r="AO51" i="25"/>
  <c r="AE51" i="25"/>
  <c r="V51" i="25"/>
  <c r="AB51" i="25"/>
  <c r="E51" i="25"/>
  <c r="O51" i="25"/>
  <c r="G51" i="25"/>
  <c r="J51" i="25"/>
  <c r="AP51" i="25"/>
  <c r="AN51" i="25"/>
  <c r="K51" i="25"/>
  <c r="U51" i="25"/>
  <c r="AG51" i="25"/>
  <c r="AI51" i="25"/>
  <c r="AM72" i="4"/>
  <c r="Q51" i="25"/>
  <c r="D51" i="25"/>
  <c r="AG56" i="25"/>
  <c r="AG58" i="25" s="1"/>
  <c r="T51" i="25"/>
  <c r="J72" i="4"/>
  <c r="AK51" i="25"/>
  <c r="P51" i="25"/>
  <c r="R51" i="25"/>
  <c r="AJ51" i="25"/>
  <c r="AF51" i="25"/>
  <c r="AH51" i="25"/>
  <c r="S51" i="25"/>
  <c r="AM51" i="25"/>
  <c r="E58" i="8"/>
  <c r="E62" i="8" s="1"/>
  <c r="E64" i="8" s="1"/>
  <c r="E63" i="8"/>
  <c r="E57" i="8"/>
  <c r="F55" i="8"/>
  <c r="F56" i="8" s="1"/>
  <c r="F60" i="8" s="1"/>
  <c r="F61" i="8" s="1"/>
  <c r="E60" i="8"/>
  <c r="D47" i="7"/>
  <c r="E47" i="7" s="1"/>
  <c r="E45" i="7" s="1"/>
  <c r="E49" i="9"/>
  <c r="E50" i="9"/>
  <c r="AQ52" i="2"/>
  <c r="AQ55" i="2" s="1"/>
  <c r="AR51" i="2"/>
  <c r="AD75" i="2"/>
  <c r="D75" i="2"/>
  <c r="G45" i="9"/>
  <c r="G46" i="9" s="1"/>
  <c r="G54" i="8"/>
  <c r="C46" i="5"/>
  <c r="C54" i="5" s="1"/>
  <c r="D45" i="5"/>
  <c r="D48" i="5" s="1"/>
  <c r="E44" i="5"/>
  <c r="AP52" i="2"/>
  <c r="AP55" i="2" s="1"/>
  <c r="F48" i="20" l="1"/>
  <c r="D52" i="9"/>
  <c r="D51" i="9"/>
  <c r="D53" i="9" s="1"/>
  <c r="D55" i="34"/>
  <c r="D56" i="34" s="1"/>
  <c r="D64" i="34"/>
  <c r="D66" i="34" s="1"/>
  <c r="I35" i="34"/>
  <c r="E35" i="34" s="1"/>
  <c r="G15" i="4"/>
  <c r="I44" i="34" s="1"/>
  <c r="E44" i="34" s="1"/>
  <c r="D55" i="9"/>
  <c r="D56" i="25"/>
  <c r="D58" i="25" s="1"/>
  <c r="D74" i="26"/>
  <c r="D75" i="26" s="1"/>
  <c r="D49" i="28"/>
  <c r="D50" i="28" s="1"/>
  <c r="AG75" i="26"/>
  <c r="D52" i="27"/>
  <c r="AH74" i="26"/>
  <c r="AH49" i="28"/>
  <c r="AH50" i="28" s="1"/>
  <c r="AH51" i="27"/>
  <c r="AH73" i="26"/>
  <c r="E73" i="26"/>
  <c r="AN72" i="4"/>
  <c r="AH56" i="25"/>
  <c r="AH58" i="25" s="1"/>
  <c r="C51" i="25"/>
  <c r="C26" i="25" s="1"/>
  <c r="K72" i="4"/>
  <c r="H44" i="20"/>
  <c r="G48" i="20"/>
  <c r="E68" i="8"/>
  <c r="E71" i="8" s="1"/>
  <c r="E70" i="8"/>
  <c r="E65" i="8" s="1"/>
  <c r="E66" i="8" s="1"/>
  <c r="E69" i="8"/>
  <c r="E61" i="8"/>
  <c r="F63" i="8"/>
  <c r="F58" i="8"/>
  <c r="F62" i="8" s="1"/>
  <c r="F64" i="8" s="1"/>
  <c r="F57" i="8"/>
  <c r="G55" i="8"/>
  <c r="G56" i="8" s="1"/>
  <c r="D45" i="7"/>
  <c r="E44" i="7"/>
  <c r="D44" i="7"/>
  <c r="F47" i="7"/>
  <c r="F45" i="7" s="1"/>
  <c r="D56" i="9"/>
  <c r="F49" i="9"/>
  <c r="F50" i="9"/>
  <c r="AS51" i="2"/>
  <c r="AR52" i="2"/>
  <c r="C55" i="5"/>
  <c r="C56" i="5" s="1"/>
  <c r="AE75" i="2"/>
  <c r="H45" i="9"/>
  <c r="H46" i="9" s="1"/>
  <c r="H54" i="8"/>
  <c r="C51" i="5"/>
  <c r="C49" i="5"/>
  <c r="C50" i="5"/>
  <c r="E45" i="5"/>
  <c r="E48" i="5" s="1"/>
  <c r="F44" i="5"/>
  <c r="AG52" i="2"/>
  <c r="AG55" i="2" s="1"/>
  <c r="AF52" i="2"/>
  <c r="AF55" i="2" s="1"/>
  <c r="P52" i="2"/>
  <c r="P55" i="2" s="1"/>
  <c r="AE52" i="2"/>
  <c r="AE55" i="2" s="1"/>
  <c r="Y52" i="2"/>
  <c r="Y55" i="2" s="1"/>
  <c r="I52" i="2"/>
  <c r="I55" i="2" s="1"/>
  <c r="AD52" i="2"/>
  <c r="AD55" i="2" s="1"/>
  <c r="Q52" i="2"/>
  <c r="Q55" i="2" s="1"/>
  <c r="O52" i="2"/>
  <c r="O55" i="2" s="1"/>
  <c r="N52" i="2"/>
  <c r="N55" i="2" s="1"/>
  <c r="X52" i="2"/>
  <c r="X55" i="2" s="1"/>
  <c r="AC52" i="2"/>
  <c r="AC55" i="2" s="1"/>
  <c r="E52" i="2"/>
  <c r="E55" i="2" s="1"/>
  <c r="R52" i="2"/>
  <c r="R55" i="2" s="1"/>
  <c r="Z52" i="2"/>
  <c r="Z55" i="2" s="1"/>
  <c r="G52" i="2"/>
  <c r="G55" i="2" s="1"/>
  <c r="AA52" i="2"/>
  <c r="AA55" i="2" s="1"/>
  <c r="T52" i="2"/>
  <c r="T55" i="2" s="1"/>
  <c r="U52" i="2"/>
  <c r="U55" i="2" s="1"/>
  <c r="J52" i="2"/>
  <c r="J55" i="2" s="1"/>
  <c r="V52" i="2"/>
  <c r="V55" i="2" s="1"/>
  <c r="C52" i="2"/>
  <c r="C55" i="2" s="1"/>
  <c r="C36" i="2" s="1"/>
  <c r="K52" i="2"/>
  <c r="K55" i="2" s="1"/>
  <c r="D52" i="2"/>
  <c r="D55" i="2" s="1"/>
  <c r="L52" i="2"/>
  <c r="L55" i="2" s="1"/>
  <c r="AB52" i="2"/>
  <c r="AB55" i="2" s="1"/>
  <c r="F52" i="2"/>
  <c r="F55" i="2" s="1"/>
  <c r="M52" i="2"/>
  <c r="M55" i="2" s="1"/>
  <c r="W52" i="2"/>
  <c r="W55" i="2" s="1"/>
  <c r="S52" i="2"/>
  <c r="S55" i="2" s="1"/>
  <c r="H52" i="2"/>
  <c r="H55" i="2" s="1"/>
  <c r="F7" i="34"/>
  <c r="D4" i="34"/>
  <c r="C37" i="2" l="1"/>
  <c r="AH75" i="26"/>
  <c r="E49" i="28"/>
  <c r="E50" i="28" s="1"/>
  <c r="E74" i="26"/>
  <c r="E75" i="26" s="1"/>
  <c r="E56" i="25"/>
  <c r="E58" i="25" s="1"/>
  <c r="E51" i="27"/>
  <c r="E52" i="27" s="1"/>
  <c r="E75" i="2"/>
  <c r="D46" i="7"/>
  <c r="AI73" i="26"/>
  <c r="F73" i="26"/>
  <c r="G74" i="26"/>
  <c r="G49" i="28"/>
  <c r="G50" i="28" s="1"/>
  <c r="F25" i="28" s="1"/>
  <c r="AI74" i="26"/>
  <c r="AI49" i="28"/>
  <c r="AI50" i="28" s="1"/>
  <c r="AI51" i="27"/>
  <c r="L72" i="4"/>
  <c r="G56" i="25"/>
  <c r="G58" i="25" s="1"/>
  <c r="F24" i="25" s="1"/>
  <c r="AI56" i="25"/>
  <c r="AI58" i="25" s="1"/>
  <c r="C27" i="25"/>
  <c r="AO72" i="4"/>
  <c r="I44" i="20"/>
  <c r="H48" i="20"/>
  <c r="F68" i="8"/>
  <c r="F71" i="8" s="1"/>
  <c r="F70" i="8"/>
  <c r="F65" i="8" s="1"/>
  <c r="F66" i="8" s="1"/>
  <c r="F69" i="8"/>
  <c r="G63" i="8"/>
  <c r="G58" i="8"/>
  <c r="G62" i="8" s="1"/>
  <c r="G64" i="8" s="1"/>
  <c r="G60" i="8"/>
  <c r="G57" i="8"/>
  <c r="H55" i="8"/>
  <c r="H56" i="8" s="1"/>
  <c r="H60" i="8" s="1"/>
  <c r="H61" i="8" s="1"/>
  <c r="F44" i="7"/>
  <c r="E46" i="7"/>
  <c r="G47" i="7"/>
  <c r="G45" i="7" s="1"/>
  <c r="G49" i="9"/>
  <c r="G50" i="9"/>
  <c r="AR55" i="2"/>
  <c r="AT51" i="2"/>
  <c r="AS52" i="2"/>
  <c r="AS55" i="2" s="1"/>
  <c r="D55" i="5"/>
  <c r="AF75" i="2"/>
  <c r="F75" i="2"/>
  <c r="I45" i="9"/>
  <c r="I46" i="9" s="1"/>
  <c r="I54" i="8"/>
  <c r="C52" i="5"/>
  <c r="F45" i="5"/>
  <c r="F48" i="5" s="1"/>
  <c r="G44" i="5"/>
  <c r="C53" i="2"/>
  <c r="T7" i="34"/>
  <c r="E4" i="34"/>
  <c r="T10" i="34"/>
  <c r="G7" i="34"/>
  <c r="C65" i="2" l="1"/>
  <c r="C68" i="2"/>
  <c r="C66" i="2"/>
  <c r="C67" i="2"/>
  <c r="G51" i="27"/>
  <c r="AI75" i="26"/>
  <c r="F56" i="25"/>
  <c r="F58" i="25" s="1"/>
  <c r="F49" i="28"/>
  <c r="F50" i="28" s="1"/>
  <c r="F74" i="26"/>
  <c r="F75" i="26" s="1"/>
  <c r="F51" i="27"/>
  <c r="F52" i="27" s="1"/>
  <c r="AJ73" i="26"/>
  <c r="AJ49" i="28"/>
  <c r="AJ50" i="28" s="1"/>
  <c r="AJ51" i="27"/>
  <c r="H74" i="26"/>
  <c r="H49" i="28"/>
  <c r="H50" i="28" s="1"/>
  <c r="G73" i="26"/>
  <c r="G75" i="26" s="1"/>
  <c r="F35" i="26" s="1"/>
  <c r="AJ56" i="25"/>
  <c r="AJ58" i="25" s="1"/>
  <c r="AJ74" i="26"/>
  <c r="H56" i="25"/>
  <c r="H58" i="25" s="1"/>
  <c r="M72" i="4"/>
  <c r="J44" i="20"/>
  <c r="I48" i="20"/>
  <c r="G68" i="8"/>
  <c r="G71" i="8" s="1"/>
  <c r="G70" i="8"/>
  <c r="G65" i="8" s="1"/>
  <c r="G66" i="8" s="1"/>
  <c r="G69" i="8"/>
  <c r="G61" i="8"/>
  <c r="H63" i="8"/>
  <c r="H58" i="8"/>
  <c r="H62" i="8" s="1"/>
  <c r="H64" i="8" s="1"/>
  <c r="H57" i="8"/>
  <c r="I55" i="8"/>
  <c r="I56" i="8" s="1"/>
  <c r="I60" i="8" s="1"/>
  <c r="I61" i="8" s="1"/>
  <c r="G44" i="7"/>
  <c r="F46" i="7"/>
  <c r="H47" i="7"/>
  <c r="H49" i="9"/>
  <c r="H50" i="9"/>
  <c r="AU51" i="2"/>
  <c r="AT52" i="2"/>
  <c r="AT55" i="2" s="1"/>
  <c r="AG75" i="2"/>
  <c r="G75" i="2"/>
  <c r="E55" i="5"/>
  <c r="C60" i="2"/>
  <c r="C61" i="2"/>
  <c r="C63" i="2"/>
  <c r="C62" i="2"/>
  <c r="J45" i="9"/>
  <c r="J46" i="9" s="1"/>
  <c r="J54" i="8"/>
  <c r="G45" i="5"/>
  <c r="G48" i="5" s="1"/>
  <c r="H44" i="5"/>
  <c r="D53" i="2"/>
  <c r="G52" i="27" l="1"/>
  <c r="F26" i="27" s="1"/>
  <c r="H45" i="7"/>
  <c r="F26" i="7"/>
  <c r="D65" i="2"/>
  <c r="D66" i="2"/>
  <c r="D67" i="2"/>
  <c r="D68" i="2"/>
  <c r="H51" i="27"/>
  <c r="AJ75" i="26"/>
  <c r="I74" i="26"/>
  <c r="I49" i="28"/>
  <c r="I50" i="28" s="1"/>
  <c r="C71" i="2"/>
  <c r="H73" i="26"/>
  <c r="H75" i="26" s="1"/>
  <c r="N72" i="4"/>
  <c r="I56" i="25"/>
  <c r="I58" i="25" s="1"/>
  <c r="K44" i="20"/>
  <c r="J48" i="20"/>
  <c r="H68" i="8"/>
  <c r="H71" i="8" s="1"/>
  <c r="F38" i="8" s="1"/>
  <c r="H70" i="8"/>
  <c r="H65" i="8" s="1"/>
  <c r="H66" i="8" s="1"/>
  <c r="H69" i="8"/>
  <c r="I63" i="8"/>
  <c r="I58" i="8"/>
  <c r="I62" i="8" s="1"/>
  <c r="I57" i="8"/>
  <c r="J55" i="8"/>
  <c r="J56" i="8" s="1"/>
  <c r="J60" i="8" s="1"/>
  <c r="J61" i="8" s="1"/>
  <c r="G46" i="7"/>
  <c r="H44" i="7"/>
  <c r="I47" i="7"/>
  <c r="I45" i="7" s="1"/>
  <c r="I49" i="9"/>
  <c r="I50" i="9"/>
  <c r="AU52" i="2"/>
  <c r="AU55" i="2" s="1"/>
  <c r="C70" i="2"/>
  <c r="H75" i="2"/>
  <c r="F55" i="5"/>
  <c r="AH75" i="2"/>
  <c r="D60" i="2"/>
  <c r="D62" i="2"/>
  <c r="D63" i="2"/>
  <c r="D61" i="2"/>
  <c r="C72" i="2"/>
  <c r="K45" i="9"/>
  <c r="K46" i="9" s="1"/>
  <c r="K54" i="8"/>
  <c r="H45" i="5"/>
  <c r="H48" i="5" s="1"/>
  <c r="I44" i="5"/>
  <c r="E53" i="2"/>
  <c r="T26" i="34"/>
  <c r="T8" i="34"/>
  <c r="T30" i="34"/>
  <c r="H52" i="27" l="1"/>
  <c r="E65" i="2"/>
  <c r="E66" i="2"/>
  <c r="E68" i="2"/>
  <c r="E67" i="2"/>
  <c r="I73" i="26"/>
  <c r="I75" i="26" s="1"/>
  <c r="I51" i="27"/>
  <c r="I52" i="27" s="1"/>
  <c r="J74" i="26"/>
  <c r="J49" i="28"/>
  <c r="J50" i="28" s="1"/>
  <c r="C56" i="2"/>
  <c r="D71" i="2"/>
  <c r="J56" i="25"/>
  <c r="J58" i="25" s="1"/>
  <c r="O72" i="4"/>
  <c r="L44" i="20"/>
  <c r="K48" i="20"/>
  <c r="I68" i="8"/>
  <c r="I71" i="8" s="1"/>
  <c r="I70" i="8"/>
  <c r="I65" i="8" s="1"/>
  <c r="I69" i="8"/>
  <c r="I64" i="8"/>
  <c r="J63" i="8"/>
  <c r="J58" i="8"/>
  <c r="J62" i="8" s="1"/>
  <c r="J57" i="8"/>
  <c r="K55" i="8"/>
  <c r="K56" i="8" s="1"/>
  <c r="K60" i="8" s="1"/>
  <c r="K61" i="8" s="1"/>
  <c r="I44" i="7"/>
  <c r="H46" i="7"/>
  <c r="J47" i="7"/>
  <c r="J45" i="7" s="1"/>
  <c r="J49" i="9"/>
  <c r="J50" i="9"/>
  <c r="C76" i="2"/>
  <c r="C69" i="2"/>
  <c r="AI75" i="2"/>
  <c r="I75" i="2"/>
  <c r="G55" i="5"/>
  <c r="D72" i="2"/>
  <c r="D70" i="2"/>
  <c r="E60" i="2"/>
  <c r="E61" i="2"/>
  <c r="E63" i="2"/>
  <c r="E62" i="2"/>
  <c r="L45" i="9"/>
  <c r="L46" i="9" s="1"/>
  <c r="L54" i="8"/>
  <c r="I45" i="5"/>
  <c r="I48" i="5" s="1"/>
  <c r="J44" i="5"/>
  <c r="F53" i="2"/>
  <c r="D76" i="2" l="1"/>
  <c r="F65" i="2"/>
  <c r="F67" i="2"/>
  <c r="F66" i="2"/>
  <c r="F68" i="2"/>
  <c r="K74" i="26"/>
  <c r="K49" i="28"/>
  <c r="K50" i="28" s="1"/>
  <c r="J51" i="27"/>
  <c r="J52" i="27" s="1"/>
  <c r="E71" i="2"/>
  <c r="D56" i="2"/>
  <c r="J73" i="26"/>
  <c r="J75" i="26" s="1"/>
  <c r="P72" i="4"/>
  <c r="K56" i="25"/>
  <c r="K58" i="25" s="1"/>
  <c r="I66" i="8"/>
  <c r="M44" i="20"/>
  <c r="L48" i="20"/>
  <c r="J68" i="8"/>
  <c r="J71" i="8" s="1"/>
  <c r="J70" i="8"/>
  <c r="J65" i="8" s="1"/>
  <c r="J69" i="8"/>
  <c r="J64" i="8"/>
  <c r="K63" i="8"/>
  <c r="K58" i="8"/>
  <c r="K62" i="8" s="1"/>
  <c r="K64" i="8" s="1"/>
  <c r="K57" i="8"/>
  <c r="L55" i="8"/>
  <c r="L56" i="8" s="1"/>
  <c r="L60" i="8" s="1"/>
  <c r="L61" i="8" s="1"/>
  <c r="J44" i="7"/>
  <c r="I46" i="7"/>
  <c r="K47" i="7"/>
  <c r="K45" i="7" s="1"/>
  <c r="K49" i="9"/>
  <c r="K50" i="9"/>
  <c r="AJ75" i="2"/>
  <c r="J75" i="2"/>
  <c r="E70" i="2"/>
  <c r="H55" i="5"/>
  <c r="C57" i="2"/>
  <c r="D69" i="2"/>
  <c r="E72" i="2"/>
  <c r="F60" i="2"/>
  <c r="F63" i="2"/>
  <c r="F62" i="2"/>
  <c r="F61" i="2"/>
  <c r="M45" i="9"/>
  <c r="M46" i="9" s="1"/>
  <c r="M54" i="8"/>
  <c r="J45" i="5"/>
  <c r="J48" i="5" s="1"/>
  <c r="K44" i="5"/>
  <c r="G53" i="2"/>
  <c r="G67" i="2" l="1"/>
  <c r="G65" i="2"/>
  <c r="G66" i="2"/>
  <c r="G68" i="2"/>
  <c r="K73" i="26"/>
  <c r="K75" i="26" s="1"/>
  <c r="K51" i="27"/>
  <c r="K52" i="27" s="1"/>
  <c r="L74" i="26"/>
  <c r="L49" i="28"/>
  <c r="L50" i="28" s="1"/>
  <c r="F26" i="28" s="1"/>
  <c r="I55" i="5"/>
  <c r="F71" i="2"/>
  <c r="E56" i="2"/>
  <c r="L56" i="25"/>
  <c r="L58" i="25" s="1"/>
  <c r="F25" i="25" s="1"/>
  <c r="Q72" i="4"/>
  <c r="N44" i="20"/>
  <c r="M48" i="20"/>
  <c r="J66" i="8"/>
  <c r="K68" i="8"/>
  <c r="K71" i="8" s="1"/>
  <c r="K70" i="8"/>
  <c r="K65" i="8" s="1"/>
  <c r="K66" i="8" s="1"/>
  <c r="K69" i="8"/>
  <c r="L63" i="8"/>
  <c r="L58" i="8"/>
  <c r="L62" i="8" s="1"/>
  <c r="L64" i="8" s="1"/>
  <c r="L57" i="8"/>
  <c r="M55" i="8"/>
  <c r="M56" i="8" s="1"/>
  <c r="M60" i="8" s="1"/>
  <c r="M61" i="8" s="1"/>
  <c r="K44" i="7"/>
  <c r="K46" i="7" s="1"/>
  <c r="J46" i="7"/>
  <c r="L47" i="7"/>
  <c r="L45" i="7" s="1"/>
  <c r="L49" i="9"/>
  <c r="L50" i="9"/>
  <c r="E76" i="2"/>
  <c r="E69" i="2"/>
  <c r="F70" i="2"/>
  <c r="K75" i="2"/>
  <c r="G60" i="2"/>
  <c r="G63" i="2"/>
  <c r="G62" i="2"/>
  <c r="G61" i="2"/>
  <c r="F72" i="2"/>
  <c r="N45" i="9"/>
  <c r="N46" i="9" s="1"/>
  <c r="N54" i="8"/>
  <c r="K45" i="5"/>
  <c r="K48" i="5" s="1"/>
  <c r="L44" i="5"/>
  <c r="H53" i="2"/>
  <c r="U10" i="34"/>
  <c r="H67" i="2" l="1"/>
  <c r="H65" i="2"/>
  <c r="H68" i="2"/>
  <c r="H66" i="2"/>
  <c r="G71" i="2"/>
  <c r="F56" i="2"/>
  <c r="L51" i="27"/>
  <c r="L52" i="27" s="1"/>
  <c r="F27" i="27" s="1"/>
  <c r="E57" i="2"/>
  <c r="L73" i="26"/>
  <c r="L75" i="26" s="1"/>
  <c r="F36" i="26" s="1"/>
  <c r="M74" i="26"/>
  <c r="M49" i="28"/>
  <c r="M50" i="28" s="1"/>
  <c r="R72" i="4"/>
  <c r="J55" i="5"/>
  <c r="M56" i="25"/>
  <c r="M58" i="25" s="1"/>
  <c r="O44" i="20"/>
  <c r="N48" i="20"/>
  <c r="L68" i="8"/>
  <c r="L71" i="8" s="1"/>
  <c r="L70" i="8"/>
  <c r="L65" i="8" s="1"/>
  <c r="L66" i="8" s="1"/>
  <c r="L69" i="8"/>
  <c r="M63" i="8"/>
  <c r="M58" i="8"/>
  <c r="M57" i="8"/>
  <c r="N55" i="8"/>
  <c r="N56" i="8" s="1"/>
  <c r="N60" i="8" s="1"/>
  <c r="N61" i="8" s="1"/>
  <c r="L44" i="7"/>
  <c r="M47" i="7"/>
  <c r="M49" i="9"/>
  <c r="M50" i="9"/>
  <c r="F76" i="2"/>
  <c r="L75" i="2"/>
  <c r="G72" i="2"/>
  <c r="F69" i="2"/>
  <c r="D57" i="2"/>
  <c r="G70" i="2"/>
  <c r="H60" i="2"/>
  <c r="H61" i="2"/>
  <c r="H63" i="2"/>
  <c r="H62" i="2"/>
  <c r="O45" i="9"/>
  <c r="O46" i="9" s="1"/>
  <c r="O54" i="8"/>
  <c r="L45" i="5"/>
  <c r="L48" i="5" s="1"/>
  <c r="M44" i="5"/>
  <c r="I53" i="2"/>
  <c r="U8" i="34"/>
  <c r="M45" i="7" l="1"/>
  <c r="F27" i="7"/>
  <c r="I65" i="2"/>
  <c r="I67" i="2"/>
  <c r="I66" i="2"/>
  <c r="I68" i="2"/>
  <c r="F57" i="2"/>
  <c r="M51" i="27"/>
  <c r="M52" i="27" s="1"/>
  <c r="N74" i="26"/>
  <c r="N49" i="28"/>
  <c r="N50" i="28" s="1"/>
  <c r="M73" i="26"/>
  <c r="M75" i="26" s="1"/>
  <c r="H71" i="2"/>
  <c r="G56" i="2"/>
  <c r="N56" i="25"/>
  <c r="N58" i="25" s="1"/>
  <c r="S72" i="4"/>
  <c r="P44" i="20"/>
  <c r="O48" i="20"/>
  <c r="M68" i="8"/>
  <c r="M71" i="8" s="1"/>
  <c r="F39" i="8" s="1"/>
  <c r="M70" i="8"/>
  <c r="M65" i="8" s="1"/>
  <c r="M69" i="8"/>
  <c r="N63" i="8"/>
  <c r="N58" i="8"/>
  <c r="M62" i="8"/>
  <c r="N57" i="8"/>
  <c r="O55" i="8"/>
  <c r="O56" i="8" s="1"/>
  <c r="M44" i="7"/>
  <c r="L46" i="7"/>
  <c r="N47" i="7"/>
  <c r="N45" i="7" s="1"/>
  <c r="N49" i="9"/>
  <c r="N50" i="9"/>
  <c r="K55" i="5"/>
  <c r="G69" i="2"/>
  <c r="H70" i="2"/>
  <c r="M75" i="2"/>
  <c r="G76" i="2"/>
  <c r="F36" i="2" s="1"/>
  <c r="H72" i="2"/>
  <c r="I60" i="2"/>
  <c r="I62" i="2"/>
  <c r="I61" i="2"/>
  <c r="I63" i="2"/>
  <c r="P45" i="9"/>
  <c r="P46" i="9" s="1"/>
  <c r="P54" i="8"/>
  <c r="M45" i="5"/>
  <c r="M48" i="5" s="1"/>
  <c r="N44" i="5"/>
  <c r="J53" i="2"/>
  <c r="U30" i="34"/>
  <c r="U26" i="34"/>
  <c r="T4" i="34"/>
  <c r="M46" i="7" l="1"/>
  <c r="J65" i="2"/>
  <c r="J68" i="2"/>
  <c r="J67" i="2"/>
  <c r="J66" i="2"/>
  <c r="O74" i="26"/>
  <c r="O49" i="28"/>
  <c r="O50" i="28" s="1"/>
  <c r="N73" i="26"/>
  <c r="N75" i="26" s="1"/>
  <c r="N51" i="27"/>
  <c r="N52" i="27" s="1"/>
  <c r="H56" i="2"/>
  <c r="G57" i="2"/>
  <c r="I71" i="2"/>
  <c r="T72" i="4"/>
  <c r="O56" i="25"/>
  <c r="O58" i="25" s="1"/>
  <c r="Q44" i="20"/>
  <c r="P48" i="20"/>
  <c r="N68" i="8"/>
  <c r="N71" i="8" s="1"/>
  <c r="N70" i="8"/>
  <c r="N65" i="8" s="1"/>
  <c r="N69" i="8"/>
  <c r="M64" i="8"/>
  <c r="M66" i="8" s="1"/>
  <c r="O63" i="8"/>
  <c r="O58" i="8"/>
  <c r="N62" i="8"/>
  <c r="O57" i="8"/>
  <c r="O60" i="8"/>
  <c r="O61" i="8" s="1"/>
  <c r="P55" i="8"/>
  <c r="P56" i="8" s="1"/>
  <c r="P60" i="8" s="1"/>
  <c r="P61" i="8" s="1"/>
  <c r="N44" i="7"/>
  <c r="N46" i="7" s="1"/>
  <c r="O47" i="7"/>
  <c r="O45" i="7" s="1"/>
  <c r="O49" i="9"/>
  <c r="O50" i="9"/>
  <c r="H69" i="2"/>
  <c r="H76" i="2"/>
  <c r="L55" i="5"/>
  <c r="N75" i="2"/>
  <c r="I70" i="2"/>
  <c r="I72" i="2"/>
  <c r="J60" i="2"/>
  <c r="J63" i="2"/>
  <c r="J61" i="2"/>
  <c r="J62" i="2"/>
  <c r="Q45" i="9"/>
  <c r="Q46" i="9" s="1"/>
  <c r="Q54" i="8"/>
  <c r="N45" i="5"/>
  <c r="N48" i="5" s="1"/>
  <c r="O44" i="5"/>
  <c r="K53" i="2"/>
  <c r="K68" i="2" l="1"/>
  <c r="K65" i="2"/>
  <c r="K66" i="2"/>
  <c r="K67" i="2"/>
  <c r="J71" i="2"/>
  <c r="O73" i="26"/>
  <c r="O75" i="26" s="1"/>
  <c r="I56" i="2"/>
  <c r="H57" i="2"/>
  <c r="O51" i="27"/>
  <c r="O52" i="27" s="1"/>
  <c r="P74" i="26"/>
  <c r="P49" i="28"/>
  <c r="P50" i="28" s="1"/>
  <c r="P56" i="25"/>
  <c r="P58" i="25" s="1"/>
  <c r="U72" i="4"/>
  <c r="R44" i="20"/>
  <c r="Q48" i="20"/>
  <c r="O68" i="8"/>
  <c r="O71" i="8" s="1"/>
  <c r="O70" i="8"/>
  <c r="O65" i="8" s="1"/>
  <c r="O69" i="8"/>
  <c r="N64" i="8"/>
  <c r="N66" i="8" s="1"/>
  <c r="P63" i="8"/>
  <c r="P58" i="8"/>
  <c r="O62" i="8"/>
  <c r="O64" i="8" s="1"/>
  <c r="P57" i="8"/>
  <c r="Q55" i="8"/>
  <c r="Q56" i="8" s="1"/>
  <c r="Q60" i="8" s="1"/>
  <c r="Q61" i="8" s="1"/>
  <c r="O44" i="7"/>
  <c r="O46" i="7" s="1"/>
  <c r="P47" i="7"/>
  <c r="P45" i="7" s="1"/>
  <c r="P49" i="9"/>
  <c r="P50" i="9"/>
  <c r="M55" i="5"/>
  <c r="O75" i="2"/>
  <c r="I76" i="2"/>
  <c r="K60" i="2"/>
  <c r="K61" i="2"/>
  <c r="K62" i="2"/>
  <c r="K63" i="2"/>
  <c r="J72" i="2"/>
  <c r="J70" i="2"/>
  <c r="I69" i="2"/>
  <c r="R45" i="9"/>
  <c r="R46" i="9" s="1"/>
  <c r="R54" i="8"/>
  <c r="O45" i="5"/>
  <c r="O48" i="5" s="1"/>
  <c r="P44" i="5"/>
  <c r="L53" i="2"/>
  <c r="L68" i="2" l="1"/>
  <c r="L65" i="2"/>
  <c r="L67" i="2"/>
  <c r="L66" i="2"/>
  <c r="P73" i="26"/>
  <c r="P75" i="26" s="1"/>
  <c r="P51" i="27"/>
  <c r="P52" i="27" s="1"/>
  <c r="Q74" i="26"/>
  <c r="Q49" i="28"/>
  <c r="Q50" i="28" s="1"/>
  <c r="F27" i="28" s="1"/>
  <c r="J56" i="2"/>
  <c r="K71" i="2"/>
  <c r="V72" i="4"/>
  <c r="Q56" i="25"/>
  <c r="Q58" i="25" s="1"/>
  <c r="F26" i="25" s="1"/>
  <c r="S44" i="20"/>
  <c r="R48" i="20"/>
  <c r="O66" i="8"/>
  <c r="P68" i="8"/>
  <c r="P71" i="8" s="1"/>
  <c r="P70" i="8"/>
  <c r="P65" i="8" s="1"/>
  <c r="P69" i="8"/>
  <c r="Q63" i="8"/>
  <c r="Q58" i="8"/>
  <c r="P62" i="8"/>
  <c r="Q57" i="8"/>
  <c r="R55" i="8"/>
  <c r="R56" i="8" s="1"/>
  <c r="R60" i="8" s="1"/>
  <c r="R61" i="8" s="1"/>
  <c r="P44" i="7"/>
  <c r="Q47" i="7"/>
  <c r="Q45" i="7" s="1"/>
  <c r="Q49" i="9"/>
  <c r="Q50" i="9"/>
  <c r="N55" i="5"/>
  <c r="J76" i="2"/>
  <c r="P75" i="2"/>
  <c r="I57" i="2"/>
  <c r="J69" i="2"/>
  <c r="L60" i="2"/>
  <c r="L61" i="2"/>
  <c r="L63" i="2"/>
  <c r="L62" i="2"/>
  <c r="K70" i="2"/>
  <c r="K72" i="2"/>
  <c r="S45" i="9"/>
  <c r="S46" i="9" s="1"/>
  <c r="S54" i="8"/>
  <c r="P45" i="5"/>
  <c r="P48" i="5" s="1"/>
  <c r="Q44" i="5"/>
  <c r="M53" i="2"/>
  <c r="V7" i="34"/>
  <c r="V10" i="34"/>
  <c r="M68" i="2" l="1"/>
  <c r="M66" i="2"/>
  <c r="M65" i="2"/>
  <c r="M67" i="2"/>
  <c r="J57" i="2"/>
  <c r="Q73" i="26"/>
  <c r="Q75" i="26" s="1"/>
  <c r="F37" i="26" s="1"/>
  <c r="Q51" i="27"/>
  <c r="Q52" i="27" s="1"/>
  <c r="F28" i="27" s="1"/>
  <c r="R74" i="26"/>
  <c r="R49" i="28"/>
  <c r="R50" i="28" s="1"/>
  <c r="K56" i="2"/>
  <c r="L71" i="2"/>
  <c r="R56" i="25"/>
  <c r="R58" i="25" s="1"/>
  <c r="W72" i="4"/>
  <c r="T44" i="20"/>
  <c r="S48" i="20"/>
  <c r="Q68" i="8"/>
  <c r="Q71" i="8" s="1"/>
  <c r="Q70" i="8"/>
  <c r="Q65" i="8" s="1"/>
  <c r="Q69" i="8"/>
  <c r="P64" i="8"/>
  <c r="P66" i="8" s="1"/>
  <c r="R63" i="8"/>
  <c r="R58" i="8"/>
  <c r="Q62" i="8"/>
  <c r="R57" i="8"/>
  <c r="S55" i="8"/>
  <c r="S56" i="8" s="1"/>
  <c r="S60" i="8" s="1"/>
  <c r="S61" i="8" s="1"/>
  <c r="Q44" i="7"/>
  <c r="Q46" i="7" s="1"/>
  <c r="P46" i="7"/>
  <c r="R47" i="7"/>
  <c r="R49" i="9"/>
  <c r="R50" i="9"/>
  <c r="K76" i="2"/>
  <c r="Q75" i="2"/>
  <c r="O55" i="5"/>
  <c r="L70" i="2"/>
  <c r="K69" i="2"/>
  <c r="M60" i="2"/>
  <c r="M63" i="2"/>
  <c r="M61" i="2"/>
  <c r="M62" i="2"/>
  <c r="L72" i="2"/>
  <c r="T45" i="9"/>
  <c r="T46" i="9" s="1"/>
  <c r="T54" i="8"/>
  <c r="Q45" i="5"/>
  <c r="Q48" i="5" s="1"/>
  <c r="R44" i="5"/>
  <c r="N53" i="2"/>
  <c r="V8" i="34"/>
  <c r="R45" i="7" l="1"/>
  <c r="F28" i="7"/>
  <c r="N68" i="2"/>
  <c r="N65" i="2"/>
  <c r="N66" i="2"/>
  <c r="N67" i="2"/>
  <c r="R73" i="26"/>
  <c r="R75" i="26" s="1"/>
  <c r="K57" i="2"/>
  <c r="S74" i="26"/>
  <c r="S49" i="28"/>
  <c r="S50" i="28" s="1"/>
  <c r="R51" i="27"/>
  <c r="R52" i="27" s="1"/>
  <c r="L56" i="2"/>
  <c r="M71" i="2"/>
  <c r="X72" i="4"/>
  <c r="S56" i="25"/>
  <c r="S58" i="25" s="1"/>
  <c r="U44" i="20"/>
  <c r="T48" i="20"/>
  <c r="R68" i="8"/>
  <c r="R71" i="8" s="1"/>
  <c r="F40" i="8" s="1"/>
  <c r="R70" i="8"/>
  <c r="R65" i="8" s="1"/>
  <c r="R69" i="8"/>
  <c r="Q64" i="8"/>
  <c r="Q66" i="8" s="1"/>
  <c r="S63" i="8"/>
  <c r="S58" i="8"/>
  <c r="R62" i="8"/>
  <c r="S57" i="8"/>
  <c r="T55" i="8"/>
  <c r="T56" i="8" s="1"/>
  <c r="T60" i="8" s="1"/>
  <c r="T61" i="8" s="1"/>
  <c r="R44" i="7"/>
  <c r="S47" i="7"/>
  <c r="S45" i="7" s="1"/>
  <c r="S49" i="9"/>
  <c r="S50" i="9"/>
  <c r="M70" i="2"/>
  <c r="R75" i="2"/>
  <c r="P55" i="5"/>
  <c r="L69" i="2"/>
  <c r="L76" i="2"/>
  <c r="F37" i="2" s="1"/>
  <c r="M72" i="2"/>
  <c r="N60" i="2"/>
  <c r="N62" i="2"/>
  <c r="N61" i="2"/>
  <c r="N63" i="2"/>
  <c r="U45" i="9"/>
  <c r="U46" i="9" s="1"/>
  <c r="U54" i="8"/>
  <c r="R45" i="5"/>
  <c r="R48" i="5" s="1"/>
  <c r="S44" i="5"/>
  <c r="O53" i="2"/>
  <c r="U4" i="34"/>
  <c r="V30" i="34"/>
  <c r="V26" i="34"/>
  <c r="O66" i="2" l="1"/>
  <c r="O68" i="2"/>
  <c r="O65" i="2"/>
  <c r="O67" i="2"/>
  <c r="M56" i="2"/>
  <c r="S73" i="26"/>
  <c r="S75" i="26" s="1"/>
  <c r="S51" i="27"/>
  <c r="S52" i="27" s="1"/>
  <c r="T74" i="26"/>
  <c r="T49" i="28"/>
  <c r="T50" i="28" s="1"/>
  <c r="L57" i="2"/>
  <c r="N71" i="2"/>
  <c r="T56" i="25"/>
  <c r="T58" i="25" s="1"/>
  <c r="Y72" i="4"/>
  <c r="V44" i="20"/>
  <c r="U48" i="20"/>
  <c r="S68" i="8"/>
  <c r="S71" i="8" s="1"/>
  <c r="S70" i="8"/>
  <c r="S65" i="8" s="1"/>
  <c r="S69" i="8"/>
  <c r="R64" i="8"/>
  <c r="R66" i="8" s="1"/>
  <c r="T63" i="8"/>
  <c r="T58" i="8"/>
  <c r="S62" i="8"/>
  <c r="T57" i="8"/>
  <c r="U55" i="8"/>
  <c r="U56" i="8" s="1"/>
  <c r="U60" i="8" s="1"/>
  <c r="U61" i="8" s="1"/>
  <c r="S44" i="7"/>
  <c r="R46" i="7"/>
  <c r="T47" i="7"/>
  <c r="T45" i="7" s="1"/>
  <c r="T49" i="9"/>
  <c r="T50" i="9"/>
  <c r="M76" i="2"/>
  <c r="M69" i="2"/>
  <c r="S75" i="2"/>
  <c r="Q55" i="5"/>
  <c r="N72" i="2"/>
  <c r="N70" i="2"/>
  <c r="O60" i="2"/>
  <c r="O62" i="2"/>
  <c r="O63" i="2"/>
  <c r="O61" i="2"/>
  <c r="V45" i="9"/>
  <c r="V46" i="9" s="1"/>
  <c r="V54" i="8"/>
  <c r="S45" i="5"/>
  <c r="S48" i="5" s="1"/>
  <c r="T44" i="5"/>
  <c r="P53" i="2"/>
  <c r="P66" i="2" l="1"/>
  <c r="P68" i="2"/>
  <c r="P65" i="2"/>
  <c r="P67" i="2"/>
  <c r="M57" i="2"/>
  <c r="T51" i="27"/>
  <c r="T52" i="27" s="1"/>
  <c r="U74" i="26"/>
  <c r="U49" i="28"/>
  <c r="U50" i="28" s="1"/>
  <c r="N56" i="2"/>
  <c r="O71" i="2"/>
  <c r="T73" i="26"/>
  <c r="T75" i="26" s="1"/>
  <c r="Z72" i="4"/>
  <c r="U56" i="25"/>
  <c r="U58" i="25" s="1"/>
  <c r="W44" i="20"/>
  <c r="V48" i="20"/>
  <c r="T68" i="8"/>
  <c r="T71" i="8" s="1"/>
  <c r="T70" i="8"/>
  <c r="T65" i="8" s="1"/>
  <c r="T69" i="8"/>
  <c r="S64" i="8"/>
  <c r="S66" i="8" s="1"/>
  <c r="U63" i="8"/>
  <c r="U58" i="8"/>
  <c r="T62" i="8"/>
  <c r="U57" i="8"/>
  <c r="V55" i="8"/>
  <c r="V56" i="8" s="1"/>
  <c r="T44" i="7"/>
  <c r="S46" i="7"/>
  <c r="U47" i="7"/>
  <c r="U45" i="7" s="1"/>
  <c r="U49" i="9"/>
  <c r="U50" i="9"/>
  <c r="T75" i="2"/>
  <c r="R55" i="5"/>
  <c r="N69" i="2"/>
  <c r="O70" i="2"/>
  <c r="N76" i="2"/>
  <c r="O72" i="2"/>
  <c r="P60" i="2"/>
  <c r="P63" i="2"/>
  <c r="P62" i="2"/>
  <c r="P61" i="2"/>
  <c r="W45" i="9"/>
  <c r="W46" i="9" s="1"/>
  <c r="W54" i="8"/>
  <c r="T45" i="5"/>
  <c r="T48" i="5" s="1"/>
  <c r="U44" i="5"/>
  <c r="Q53" i="2"/>
  <c r="Q66" i="2" l="1"/>
  <c r="Q67" i="2"/>
  <c r="Q68" i="2"/>
  <c r="Q65" i="2"/>
  <c r="N57" i="2"/>
  <c r="U73" i="26"/>
  <c r="U75" i="26" s="1"/>
  <c r="U51" i="27"/>
  <c r="U52" i="27" s="1"/>
  <c r="V74" i="26"/>
  <c r="V49" i="28"/>
  <c r="V50" i="28" s="1"/>
  <c r="F28" i="28" s="1"/>
  <c r="P71" i="2"/>
  <c r="O56" i="2"/>
  <c r="S55" i="5"/>
  <c r="V56" i="25"/>
  <c r="V58" i="25" s="1"/>
  <c r="F27" i="25" s="1"/>
  <c r="AA72" i="4"/>
  <c r="X44" i="20"/>
  <c r="W48" i="20"/>
  <c r="U68" i="8"/>
  <c r="U71" i="8" s="1"/>
  <c r="U70" i="8"/>
  <c r="U65" i="8" s="1"/>
  <c r="U69" i="8"/>
  <c r="T64" i="8"/>
  <c r="T66" i="8" s="1"/>
  <c r="V63" i="8"/>
  <c r="V58" i="8"/>
  <c r="U62" i="8"/>
  <c r="V57" i="8"/>
  <c r="V60" i="8"/>
  <c r="V61" i="8" s="1"/>
  <c r="W55" i="8"/>
  <c r="W56" i="8" s="1"/>
  <c r="W60" i="8" s="1"/>
  <c r="W61" i="8" s="1"/>
  <c r="U44" i="7"/>
  <c r="T46" i="7"/>
  <c r="V47" i="7"/>
  <c r="V45" i="7" s="1"/>
  <c r="V49" i="9"/>
  <c r="V50" i="9"/>
  <c r="P70" i="2"/>
  <c r="U75" i="2"/>
  <c r="P72" i="2"/>
  <c r="O69" i="2"/>
  <c r="O76" i="2"/>
  <c r="Q60" i="2"/>
  <c r="Q61" i="2"/>
  <c r="Q62" i="2"/>
  <c r="Q63" i="2"/>
  <c r="X45" i="9"/>
  <c r="X46" i="9" s="1"/>
  <c r="X54" i="8"/>
  <c r="U45" i="5"/>
  <c r="U48" i="5" s="1"/>
  <c r="V44" i="5"/>
  <c r="R53" i="2"/>
  <c r="W10" i="34"/>
  <c r="W7" i="34"/>
  <c r="R66" i="2" l="1"/>
  <c r="R68" i="2"/>
  <c r="R67" i="2"/>
  <c r="R65" i="2"/>
  <c r="V51" i="27"/>
  <c r="V52" i="27" s="1"/>
  <c r="F29" i="27" s="1"/>
  <c r="O57" i="2"/>
  <c r="P56" i="2"/>
  <c r="W74" i="26"/>
  <c r="W49" i="28"/>
  <c r="W50" i="28" s="1"/>
  <c r="V73" i="26"/>
  <c r="V75" i="26" s="1"/>
  <c r="F38" i="26" s="1"/>
  <c r="Q71" i="2"/>
  <c r="AB72" i="4"/>
  <c r="W56" i="25"/>
  <c r="W58" i="25" s="1"/>
  <c r="Y44" i="20"/>
  <c r="X48" i="20"/>
  <c r="V68" i="8"/>
  <c r="V71" i="8" s="1"/>
  <c r="V70" i="8"/>
  <c r="V65" i="8" s="1"/>
  <c r="V69" i="8"/>
  <c r="U64" i="8"/>
  <c r="U66" i="8" s="1"/>
  <c r="W63" i="8"/>
  <c r="W58" i="8"/>
  <c r="V62" i="8"/>
  <c r="V64" i="8" s="1"/>
  <c r="W57" i="8"/>
  <c r="X55" i="8"/>
  <c r="X56" i="8" s="1"/>
  <c r="X60" i="8" s="1"/>
  <c r="X61" i="8" s="1"/>
  <c r="V44" i="7"/>
  <c r="U46" i="7"/>
  <c r="W47" i="7"/>
  <c r="W49" i="9"/>
  <c r="W50" i="9"/>
  <c r="P76" i="2"/>
  <c r="P69" i="2"/>
  <c r="V75" i="2"/>
  <c r="T55" i="5"/>
  <c r="Q70" i="2"/>
  <c r="R60" i="2"/>
  <c r="R63" i="2"/>
  <c r="R61" i="2"/>
  <c r="R62" i="2"/>
  <c r="Q72" i="2"/>
  <c r="Y45" i="9"/>
  <c r="Y46" i="9" s="1"/>
  <c r="Y54" i="8"/>
  <c r="V45" i="5"/>
  <c r="V48" i="5" s="1"/>
  <c r="W44" i="5"/>
  <c r="S53" i="2"/>
  <c r="W9" i="34"/>
  <c r="W8" i="34"/>
  <c r="W45" i="7" l="1"/>
  <c r="F29" i="7"/>
  <c r="S66" i="2"/>
  <c r="S67" i="2"/>
  <c r="S68" i="2"/>
  <c r="S65" i="2"/>
  <c r="P57" i="2"/>
  <c r="U55" i="5"/>
  <c r="W73" i="26"/>
  <c r="W75" i="26" s="1"/>
  <c r="X74" i="26"/>
  <c r="X49" i="28"/>
  <c r="X50" i="28" s="1"/>
  <c r="W51" i="27"/>
  <c r="W52" i="27" s="1"/>
  <c r="R71" i="2"/>
  <c r="Q56" i="2"/>
  <c r="X56" i="25"/>
  <c r="X58" i="25" s="1"/>
  <c r="AC72" i="4"/>
  <c r="Z44" i="20"/>
  <c r="Y48" i="20"/>
  <c r="V66" i="8"/>
  <c r="W68" i="8"/>
  <c r="W71" i="8" s="1"/>
  <c r="F41" i="8" s="1"/>
  <c r="W70" i="8"/>
  <c r="W65" i="8" s="1"/>
  <c r="W69" i="8"/>
  <c r="X63" i="8"/>
  <c r="X58" i="8"/>
  <c r="W62" i="8"/>
  <c r="X57" i="8"/>
  <c r="Y55" i="8"/>
  <c r="Y56" i="8" s="1"/>
  <c r="W44" i="7"/>
  <c r="V46" i="7"/>
  <c r="X47" i="7"/>
  <c r="X45" i="7" s="1"/>
  <c r="X49" i="9"/>
  <c r="X50" i="9"/>
  <c r="W75" i="2"/>
  <c r="R70" i="2"/>
  <c r="Q76" i="2"/>
  <c r="F38" i="2" s="1"/>
  <c r="R72" i="2"/>
  <c r="S60" i="2"/>
  <c r="S61" i="2"/>
  <c r="S63" i="2"/>
  <c r="S62" i="2"/>
  <c r="Q69" i="2"/>
  <c r="Z45" i="9"/>
  <c r="Z46" i="9" s="1"/>
  <c r="Z54" i="8"/>
  <c r="W45" i="5"/>
  <c r="W48" i="5" s="1"/>
  <c r="X44" i="5"/>
  <c r="T53" i="2"/>
  <c r="V4" i="34"/>
  <c r="W26" i="34"/>
  <c r="W30" i="34"/>
  <c r="T66" i="2" l="1"/>
  <c r="T68" i="2"/>
  <c r="T65" i="2"/>
  <c r="T67" i="2"/>
  <c r="X51" i="27"/>
  <c r="X52" i="27" s="1"/>
  <c r="Q57" i="2"/>
  <c r="S71" i="2"/>
  <c r="Y74" i="26"/>
  <c r="Y49" i="28"/>
  <c r="Y50" i="28" s="1"/>
  <c r="X73" i="26"/>
  <c r="X75" i="26" s="1"/>
  <c r="R56" i="2"/>
  <c r="AD72" i="4"/>
  <c r="Y56" i="25"/>
  <c r="Y58" i="25" s="1"/>
  <c r="AA44" i="20"/>
  <c r="Z48" i="20"/>
  <c r="C32" i="20" s="1"/>
  <c r="X68" i="8"/>
  <c r="X71" i="8" s="1"/>
  <c r="X70" i="8"/>
  <c r="X65" i="8" s="1"/>
  <c r="X69" i="8"/>
  <c r="W64" i="8"/>
  <c r="W66" i="8" s="1"/>
  <c r="Y63" i="8"/>
  <c r="Y58" i="8"/>
  <c r="X62" i="8"/>
  <c r="Y57" i="8"/>
  <c r="Y60" i="8"/>
  <c r="Y61" i="8" s="1"/>
  <c r="Z55" i="8"/>
  <c r="Z56" i="8" s="1"/>
  <c r="Z60" i="8" s="1"/>
  <c r="Z61" i="8" s="1"/>
  <c r="X44" i="7"/>
  <c r="W46" i="7"/>
  <c r="Y47" i="7"/>
  <c r="Y45" i="7" s="1"/>
  <c r="Y49" i="9"/>
  <c r="Y50" i="9"/>
  <c r="C31" i="9" s="1"/>
  <c r="R76" i="2"/>
  <c r="X75" i="2"/>
  <c r="V55" i="5"/>
  <c r="S70" i="2"/>
  <c r="R69" i="2"/>
  <c r="S72" i="2"/>
  <c r="T60" i="2"/>
  <c r="T62" i="2"/>
  <c r="T61" i="2"/>
  <c r="T63" i="2"/>
  <c r="AA45" i="9"/>
  <c r="AA46" i="9" s="1"/>
  <c r="AA54" i="8"/>
  <c r="X45" i="5"/>
  <c r="X48" i="5" s="1"/>
  <c r="Y44" i="5"/>
  <c r="Y55" i="5" s="1"/>
  <c r="U53" i="2"/>
  <c r="J22" i="34"/>
  <c r="E17" i="34"/>
  <c r="U67" i="2" l="1"/>
  <c r="U65" i="2"/>
  <c r="U66" i="2"/>
  <c r="U68" i="2"/>
  <c r="Z49" i="28"/>
  <c r="Z50" i="28" s="1"/>
  <c r="Y73" i="26"/>
  <c r="Y75" i="26" s="1"/>
  <c r="R57" i="2"/>
  <c r="Y51" i="27"/>
  <c r="Y52" i="27" s="1"/>
  <c r="T71" i="2"/>
  <c r="S56" i="2"/>
  <c r="Z56" i="25"/>
  <c r="Z58" i="25" s="1"/>
  <c r="C28" i="25" s="1"/>
  <c r="Z74" i="26"/>
  <c r="AE72" i="4"/>
  <c r="AB44" i="20"/>
  <c r="AA48" i="20"/>
  <c r="Y68" i="8"/>
  <c r="Y71" i="8" s="1"/>
  <c r="Y70" i="8"/>
  <c r="Y65" i="8" s="1"/>
  <c r="Y69" i="8"/>
  <c r="X64" i="8"/>
  <c r="X66" i="8" s="1"/>
  <c r="Z63" i="8"/>
  <c r="Z58" i="8"/>
  <c r="Y62" i="8"/>
  <c r="Y64" i="8" s="1"/>
  <c r="Z57" i="8"/>
  <c r="AA55" i="8"/>
  <c r="AA56" i="8" s="1"/>
  <c r="AA60" i="8" s="1"/>
  <c r="AA61" i="8" s="1"/>
  <c r="Y44" i="7"/>
  <c r="Y46" i="7" s="1"/>
  <c r="X46" i="7"/>
  <c r="Z47" i="7"/>
  <c r="Z45" i="7" s="1"/>
  <c r="Z49" i="9"/>
  <c r="Z50" i="9"/>
  <c r="W55" i="5"/>
  <c r="Y75" i="2"/>
  <c r="T72" i="2"/>
  <c r="S69" i="2"/>
  <c r="S76" i="2"/>
  <c r="T70" i="2"/>
  <c r="U60" i="2"/>
  <c r="U63" i="2"/>
  <c r="U62" i="2"/>
  <c r="U61" i="2"/>
  <c r="AB45" i="9"/>
  <c r="AB46" i="9" s="1"/>
  <c r="AB54" i="8"/>
  <c r="Y45" i="5"/>
  <c r="Y48" i="5" s="1"/>
  <c r="Z44" i="5"/>
  <c r="Z55" i="5" s="1"/>
  <c r="V53" i="2"/>
  <c r="H7" i="34"/>
  <c r="V66" i="2" l="1"/>
  <c r="V67" i="2"/>
  <c r="V65" i="2"/>
  <c r="V68" i="2"/>
  <c r="C38" i="35"/>
  <c r="C36" i="35"/>
  <c r="U71" i="2"/>
  <c r="T56" i="2"/>
  <c r="Z73" i="26"/>
  <c r="Z75" i="26" s="1"/>
  <c r="C39" i="26" s="1"/>
  <c r="Z51" i="27"/>
  <c r="Z52" i="27" s="1"/>
  <c r="AA52" i="27" s="1"/>
  <c r="S57" i="2"/>
  <c r="C30" i="25"/>
  <c r="AC44" i="20"/>
  <c r="AB48" i="20"/>
  <c r="Z68" i="8"/>
  <c r="Z71" i="8" s="1"/>
  <c r="Z70" i="8"/>
  <c r="Z65" i="8" s="1"/>
  <c r="Y66" i="8"/>
  <c r="Z69" i="8"/>
  <c r="AA63" i="8"/>
  <c r="AA58" i="8"/>
  <c r="Z62" i="8"/>
  <c r="AA57" i="8"/>
  <c r="AB55" i="8"/>
  <c r="AB56" i="8" s="1"/>
  <c r="AB60" i="8" s="1"/>
  <c r="C38" i="8" s="1"/>
  <c r="Z44" i="7"/>
  <c r="Z46" i="7" s="1"/>
  <c r="AA47" i="7"/>
  <c r="AA45" i="7" s="1"/>
  <c r="AA49" i="9"/>
  <c r="AA50" i="9"/>
  <c r="U70" i="2"/>
  <c r="Z75" i="2"/>
  <c r="X55" i="5"/>
  <c r="T76" i="2"/>
  <c r="V60" i="2"/>
  <c r="V63" i="2"/>
  <c r="V61" i="2"/>
  <c r="V62" i="2"/>
  <c r="U72" i="2"/>
  <c r="T69" i="2"/>
  <c r="AC45" i="9"/>
  <c r="AC46" i="9" s="1"/>
  <c r="AC54" i="8"/>
  <c r="Z45" i="5"/>
  <c r="Z48" i="5" s="1"/>
  <c r="AA44" i="5"/>
  <c r="AA55" i="5" s="1"/>
  <c r="W53" i="2"/>
  <c r="J7" i="34"/>
  <c r="I7" i="34"/>
  <c r="J13" i="34"/>
  <c r="I13" i="34"/>
  <c r="H13" i="34"/>
  <c r="T57" i="2" l="1"/>
  <c r="W68" i="2"/>
  <c r="W67" i="2"/>
  <c r="W66" i="2"/>
  <c r="W65" i="2"/>
  <c r="AB52" i="27"/>
  <c r="AC52" i="27" s="1"/>
  <c r="AD52" i="27" s="1"/>
  <c r="AE52" i="27" s="1"/>
  <c r="AF52" i="27" s="1"/>
  <c r="AG52" i="27" s="1"/>
  <c r="AH52" i="27" s="1"/>
  <c r="AI52" i="27" s="1"/>
  <c r="AJ52" i="27" s="1"/>
  <c r="AK52" i="27" s="1"/>
  <c r="AL52" i="27" s="1"/>
  <c r="AM52" i="27" s="1"/>
  <c r="AN52" i="27" s="1"/>
  <c r="AO52" i="27" s="1"/>
  <c r="AP52" i="27" s="1"/>
  <c r="AQ52" i="27" s="1"/>
  <c r="AR52" i="27" s="1"/>
  <c r="AS52" i="27" s="1"/>
  <c r="AT52" i="27" s="1"/>
  <c r="AU52" i="27" s="1"/>
  <c r="C32" i="27" s="1"/>
  <c r="F30" i="27"/>
  <c r="C29" i="28"/>
  <c r="U56" i="2"/>
  <c r="V71" i="2"/>
  <c r="AD44" i="20"/>
  <c r="AC48" i="20"/>
  <c r="AA68" i="8"/>
  <c r="AA71" i="8" s="1"/>
  <c r="AA70" i="8"/>
  <c r="AA65" i="8" s="1"/>
  <c r="AA69" i="8"/>
  <c r="AB61" i="8"/>
  <c r="C39" i="8" s="1"/>
  <c r="Z64" i="8"/>
  <c r="Z66" i="8" s="1"/>
  <c r="AB63" i="8"/>
  <c r="AB58" i="8"/>
  <c r="AA62" i="8"/>
  <c r="AB57" i="8"/>
  <c r="AC55" i="8"/>
  <c r="AC56" i="8" s="1"/>
  <c r="AC60" i="8" s="1"/>
  <c r="AC61" i="8" s="1"/>
  <c r="AA44" i="7"/>
  <c r="AA46" i="7" s="1"/>
  <c r="AB47" i="7"/>
  <c r="U69" i="2"/>
  <c r="AB49" i="9"/>
  <c r="AB50" i="9"/>
  <c r="V70" i="2"/>
  <c r="U76" i="2"/>
  <c r="W60" i="2"/>
  <c r="W62" i="2"/>
  <c r="W63" i="2"/>
  <c r="W61" i="2"/>
  <c r="V72" i="2"/>
  <c r="AD45" i="9"/>
  <c r="AD46" i="9" s="1"/>
  <c r="AD54" i="8"/>
  <c r="AA45" i="5"/>
  <c r="AA48" i="5" s="1"/>
  <c r="AB44" i="5"/>
  <c r="AB55" i="5" s="1"/>
  <c r="X53" i="2"/>
  <c r="H10" i="34"/>
  <c r="I8" i="34"/>
  <c r="X8" i="34"/>
  <c r="D26" i="34"/>
  <c r="D31" i="34" l="1"/>
  <c r="AB45" i="7"/>
  <c r="F30" i="7"/>
  <c r="C30" i="27"/>
  <c r="X67" i="2"/>
  <c r="X68" i="2"/>
  <c r="X66" i="2"/>
  <c r="X65" i="2"/>
  <c r="U57" i="2"/>
  <c r="W71" i="2"/>
  <c r="C31" i="28"/>
  <c r="V56" i="2"/>
  <c r="AE44" i="20"/>
  <c r="AD48" i="20"/>
  <c r="AB68" i="8"/>
  <c r="AB71" i="8" s="1"/>
  <c r="F42" i="8" s="1"/>
  <c r="AB70" i="8"/>
  <c r="AB65" i="8" s="1"/>
  <c r="AB69" i="8"/>
  <c r="C43" i="8" s="1"/>
  <c r="AA64" i="8"/>
  <c r="AA66" i="8" s="1"/>
  <c r="AC63" i="8"/>
  <c r="AC58" i="8"/>
  <c r="AB62" i="8"/>
  <c r="AC57" i="8"/>
  <c r="AD55" i="8"/>
  <c r="AD56" i="8" s="1"/>
  <c r="AD60" i="8" s="1"/>
  <c r="AD61" i="8" s="1"/>
  <c r="AB44" i="7"/>
  <c r="AC47" i="7"/>
  <c r="AC45" i="7" s="1"/>
  <c r="AC49" i="9"/>
  <c r="AC50" i="9"/>
  <c r="W70" i="2"/>
  <c r="V76" i="2"/>
  <c r="F39" i="2" s="1"/>
  <c r="V69" i="2"/>
  <c r="W72" i="2"/>
  <c r="X60" i="2"/>
  <c r="X63" i="2"/>
  <c r="X61" i="2"/>
  <c r="X62" i="2"/>
  <c r="AE45" i="9"/>
  <c r="AE46" i="9" s="1"/>
  <c r="AE54" i="8"/>
  <c r="AB45" i="5"/>
  <c r="AB48" i="5" s="1"/>
  <c r="AC44" i="5"/>
  <c r="AC55" i="5" s="1"/>
  <c r="Y53" i="2"/>
  <c r="X30" i="34"/>
  <c r="J10" i="34"/>
  <c r="X26" i="34"/>
  <c r="I10" i="34"/>
  <c r="W4" i="34"/>
  <c r="H8" i="34"/>
  <c r="E26" i="34"/>
  <c r="J8" i="34"/>
  <c r="E31" i="34" l="1"/>
  <c r="F42" i="34"/>
  <c r="G42" i="34" s="1"/>
  <c r="F41" i="34"/>
  <c r="V57" i="2"/>
  <c r="Y65" i="2"/>
  <c r="Y67" i="2"/>
  <c r="Y68" i="2"/>
  <c r="Y66" i="2"/>
  <c r="C44" i="8"/>
  <c r="X71" i="2"/>
  <c r="W56" i="2"/>
  <c r="AF44" i="20"/>
  <c r="AE48" i="20"/>
  <c r="AC68" i="8"/>
  <c r="AC71" i="8" s="1"/>
  <c r="AC70" i="8"/>
  <c r="AC65" i="8" s="1"/>
  <c r="AC69" i="8"/>
  <c r="AB64" i="8"/>
  <c r="AB66" i="8" s="1"/>
  <c r="C40" i="8" s="1"/>
  <c r="AD63" i="8"/>
  <c r="AD58" i="8"/>
  <c r="AC62" i="8"/>
  <c r="AD57" i="8"/>
  <c r="AE55" i="8"/>
  <c r="AE56" i="8" s="1"/>
  <c r="AE60" i="8" s="1"/>
  <c r="AE61" i="8" s="1"/>
  <c r="AC44" i="7"/>
  <c r="AC46" i="7" s="1"/>
  <c r="AB46" i="7"/>
  <c r="C28" i="7" s="1"/>
  <c r="AD47" i="7"/>
  <c r="AD45" i="7" s="1"/>
  <c r="AD49" i="9"/>
  <c r="AD50" i="9"/>
  <c r="W76" i="2"/>
  <c r="W69" i="2"/>
  <c r="X70" i="2"/>
  <c r="Y60" i="2"/>
  <c r="Y62" i="2"/>
  <c r="Y61" i="2"/>
  <c r="Y63" i="2"/>
  <c r="X72" i="2"/>
  <c r="AF45" i="9"/>
  <c r="AF46" i="9" s="1"/>
  <c r="AF54" i="8"/>
  <c r="AC45" i="5"/>
  <c r="AC48" i="5" s="1"/>
  <c r="AD44" i="5"/>
  <c r="AD55" i="5" s="1"/>
  <c r="Z53" i="2"/>
  <c r="F26" i="34"/>
  <c r="F30" i="34"/>
  <c r="G41" i="34" l="1"/>
  <c r="C41" i="8"/>
  <c r="W57" i="2"/>
  <c r="Z65" i="2"/>
  <c r="Z68" i="2"/>
  <c r="Z67" i="2"/>
  <c r="Z66" i="2"/>
  <c r="X56" i="2"/>
  <c r="Y71" i="2"/>
  <c r="AG44" i="20"/>
  <c r="AF48" i="20"/>
  <c r="AD68" i="8"/>
  <c r="AD71" i="8" s="1"/>
  <c r="AD70" i="8"/>
  <c r="AD65" i="8" s="1"/>
  <c r="AD69" i="8"/>
  <c r="AC64" i="8"/>
  <c r="AC66" i="8" s="1"/>
  <c r="AE63" i="8"/>
  <c r="AE58" i="8"/>
  <c r="AD62" i="8"/>
  <c r="AE57" i="8"/>
  <c r="AF55" i="8"/>
  <c r="AF56" i="8" s="1"/>
  <c r="AF60" i="8" s="1"/>
  <c r="AF61" i="8" s="1"/>
  <c r="AD44" i="7"/>
  <c r="AE47" i="7"/>
  <c r="AE45" i="7" s="1"/>
  <c r="AE49" i="9"/>
  <c r="AE50" i="9"/>
  <c r="Y70" i="2"/>
  <c r="X69" i="2"/>
  <c r="X76" i="2"/>
  <c r="Y72" i="2"/>
  <c r="Z60" i="2"/>
  <c r="Z62" i="2"/>
  <c r="Z63" i="2"/>
  <c r="Z61" i="2"/>
  <c r="AG45" i="9"/>
  <c r="AG46" i="9" s="1"/>
  <c r="AG54" i="8"/>
  <c r="AD45" i="5"/>
  <c r="AD48" i="5" s="1"/>
  <c r="AE44" i="5"/>
  <c r="AE55" i="5" s="1"/>
  <c r="AA53" i="2"/>
  <c r="G26" i="34"/>
  <c r="AA68" i="2" l="1"/>
  <c r="AA65" i="2"/>
  <c r="AA67" i="2"/>
  <c r="AA66" i="2"/>
  <c r="X57" i="2"/>
  <c r="Y56" i="2"/>
  <c r="Z71" i="2"/>
  <c r="AH44" i="20"/>
  <c r="AG48" i="20"/>
  <c r="AE68" i="8"/>
  <c r="AE71" i="8" s="1"/>
  <c r="AE70" i="8"/>
  <c r="AE65" i="8" s="1"/>
  <c r="AE69" i="8"/>
  <c r="AD64" i="8"/>
  <c r="AD66" i="8" s="1"/>
  <c r="AF63" i="8"/>
  <c r="AF58" i="8"/>
  <c r="AE62" i="8"/>
  <c r="AF57" i="8"/>
  <c r="AG55" i="8"/>
  <c r="AG56" i="8" s="1"/>
  <c r="AG60" i="8" s="1"/>
  <c r="AG61" i="8" s="1"/>
  <c r="AE44" i="7"/>
  <c r="AE46" i="7" s="1"/>
  <c r="AD46" i="7"/>
  <c r="AF47" i="7"/>
  <c r="AF45" i="7" s="1"/>
  <c r="AF49" i="9"/>
  <c r="AF50" i="9"/>
  <c r="Y76" i="2"/>
  <c r="Y69" i="2"/>
  <c r="Z70" i="2"/>
  <c r="Z72" i="2"/>
  <c r="AA60" i="2"/>
  <c r="AA61" i="2"/>
  <c r="AA62" i="2"/>
  <c r="AA63" i="2"/>
  <c r="AH45" i="9"/>
  <c r="AH46" i="9" s="1"/>
  <c r="AH54" i="8"/>
  <c r="AE45" i="5"/>
  <c r="AE48" i="5" s="1"/>
  <c r="AF44" i="5"/>
  <c r="AF55" i="5" s="1"/>
  <c r="AB53" i="2"/>
  <c r="Y57" i="2" l="1"/>
  <c r="AB68" i="2"/>
  <c r="AB66" i="2"/>
  <c r="AB65" i="2"/>
  <c r="AB67" i="2"/>
  <c r="Z56" i="2"/>
  <c r="AA71" i="2"/>
  <c r="AI44" i="20"/>
  <c r="AH48" i="20"/>
  <c r="AF68" i="8"/>
  <c r="AF71" i="8" s="1"/>
  <c r="AF70" i="8"/>
  <c r="AF65" i="8" s="1"/>
  <c r="AF69" i="8"/>
  <c r="AE64" i="8"/>
  <c r="AE66" i="8" s="1"/>
  <c r="AG63" i="8"/>
  <c r="AG58" i="8"/>
  <c r="AF62" i="8"/>
  <c r="AG57" i="8"/>
  <c r="AH55" i="8"/>
  <c r="AH56" i="8" s="1"/>
  <c r="AH60" i="8" s="1"/>
  <c r="AH61" i="8" s="1"/>
  <c r="AF44" i="7"/>
  <c r="AF46" i="7" s="1"/>
  <c r="AG47" i="7"/>
  <c r="AG45" i="7" s="1"/>
  <c r="AG49" i="9"/>
  <c r="AG50" i="9"/>
  <c r="Z76" i="2"/>
  <c r="Z69" i="2"/>
  <c r="AA70" i="2"/>
  <c r="AA72" i="2"/>
  <c r="AB60" i="2"/>
  <c r="AB63" i="2"/>
  <c r="AB62" i="2"/>
  <c r="AB61" i="2"/>
  <c r="AI45" i="9"/>
  <c r="AI46" i="9" s="1"/>
  <c r="AH50" i="9"/>
  <c r="AI54" i="8"/>
  <c r="AF45" i="5"/>
  <c r="AF48" i="5" s="1"/>
  <c r="AG44" i="5"/>
  <c r="AG55" i="5" s="1"/>
  <c r="AC53" i="2"/>
  <c r="Z57" i="2" l="1"/>
  <c r="AC68" i="2"/>
  <c r="AC66" i="2"/>
  <c r="AC65" i="2"/>
  <c r="AC67" i="2"/>
  <c r="AA56" i="2"/>
  <c r="AB71" i="2"/>
  <c r="AJ44" i="20"/>
  <c r="AI48" i="20"/>
  <c r="AG68" i="8"/>
  <c r="AG71" i="8" s="1"/>
  <c r="AG70" i="8"/>
  <c r="AG65" i="8" s="1"/>
  <c r="AG69" i="8"/>
  <c r="AF64" i="8"/>
  <c r="AF66" i="8" s="1"/>
  <c r="AH63" i="8"/>
  <c r="AH58" i="8"/>
  <c r="AG62" i="8"/>
  <c r="AH57" i="8"/>
  <c r="AI55" i="8"/>
  <c r="AI56" i="8" s="1"/>
  <c r="AI60" i="8" s="1"/>
  <c r="AI61" i="8" s="1"/>
  <c r="AG44" i="7"/>
  <c r="AG46" i="7" s="1"/>
  <c r="AH47" i="7"/>
  <c r="AH45" i="7" s="1"/>
  <c r="AA76" i="2"/>
  <c r="F40" i="2" s="1"/>
  <c r="AB70" i="2"/>
  <c r="AB72" i="2"/>
  <c r="AA69" i="2"/>
  <c r="AC60" i="2"/>
  <c r="AC61" i="2"/>
  <c r="AC63" i="2"/>
  <c r="AC62" i="2"/>
  <c r="AH49" i="9"/>
  <c r="E47" i="9"/>
  <c r="AJ45" i="9"/>
  <c r="AJ46" i="9" s="1"/>
  <c r="AJ54" i="8"/>
  <c r="AG45" i="5"/>
  <c r="AG48" i="5" s="1"/>
  <c r="AH44" i="5"/>
  <c r="AH55" i="5" s="1"/>
  <c r="AD53" i="2"/>
  <c r="X4" i="34"/>
  <c r="G36" i="34" l="1"/>
  <c r="AD68" i="2"/>
  <c r="AD66" i="2"/>
  <c r="AD65" i="2"/>
  <c r="AD67" i="2"/>
  <c r="AB56" i="2"/>
  <c r="AC71" i="2"/>
  <c r="AK44" i="20"/>
  <c r="AJ48" i="20"/>
  <c r="AH68" i="8"/>
  <c r="AH71" i="8" s="1"/>
  <c r="AH70" i="8"/>
  <c r="AH65" i="8" s="1"/>
  <c r="AH69" i="8"/>
  <c r="AG64" i="8"/>
  <c r="AG66" i="8" s="1"/>
  <c r="AI63" i="8"/>
  <c r="AI58" i="8"/>
  <c r="AH62" i="8"/>
  <c r="AI57" i="8"/>
  <c r="AJ55" i="8"/>
  <c r="AJ56" i="8" s="1"/>
  <c r="AJ60" i="8" s="1"/>
  <c r="AJ61" i="8" s="1"/>
  <c r="AH44" i="7"/>
  <c r="AI47" i="7"/>
  <c r="AI45" i="7" s="1"/>
  <c r="E55" i="9"/>
  <c r="E54" i="9"/>
  <c r="E51" i="9"/>
  <c r="E52" i="9"/>
  <c r="AI49" i="9"/>
  <c r="AI50" i="9"/>
  <c r="AB76" i="2"/>
  <c r="AA57" i="2"/>
  <c r="C38" i="2" s="1"/>
  <c r="C41" i="2"/>
  <c r="AC70" i="2"/>
  <c r="AC72" i="2"/>
  <c r="AD60" i="2"/>
  <c r="AD62" i="2"/>
  <c r="AD61" i="2"/>
  <c r="AD63" i="2"/>
  <c r="AB69" i="2"/>
  <c r="AK45" i="9"/>
  <c r="AK46" i="9" s="1"/>
  <c r="F47" i="9"/>
  <c r="AK54" i="8"/>
  <c r="AH45" i="5"/>
  <c r="AH48" i="5" s="1"/>
  <c r="AI44" i="5"/>
  <c r="AI55" i="5" s="1"/>
  <c r="D46" i="5"/>
  <c r="AE53" i="2"/>
  <c r="F4" i="34"/>
  <c r="AE66" i="2" l="1"/>
  <c r="AE68" i="2"/>
  <c r="AE65" i="2"/>
  <c r="AE67" i="2"/>
  <c r="AB57" i="2"/>
  <c r="AC56" i="2"/>
  <c r="AD71" i="2"/>
  <c r="AL44" i="20"/>
  <c r="AK48" i="20"/>
  <c r="AI68" i="8"/>
  <c r="AI71" i="8" s="1"/>
  <c r="AI70" i="8"/>
  <c r="AI65" i="8" s="1"/>
  <c r="AI69" i="8"/>
  <c r="AH64" i="8"/>
  <c r="AH66" i="8" s="1"/>
  <c r="AJ63" i="8"/>
  <c r="AJ58" i="8"/>
  <c r="AI62" i="8"/>
  <c r="AJ57" i="8"/>
  <c r="AK55" i="8"/>
  <c r="AK56" i="8" s="1"/>
  <c r="AK60" i="8" s="1"/>
  <c r="AK61" i="8" s="1"/>
  <c r="AI44" i="7"/>
  <c r="AH46" i="7"/>
  <c r="AJ47" i="7"/>
  <c r="AJ45" i="7" s="1"/>
  <c r="E56" i="9"/>
  <c r="F54" i="9"/>
  <c r="F56" i="9" s="1"/>
  <c r="F55" i="9"/>
  <c r="F51" i="9"/>
  <c r="F52" i="9"/>
  <c r="AJ49" i="9"/>
  <c r="AJ50" i="9"/>
  <c r="E53" i="9"/>
  <c r="AC76" i="2"/>
  <c r="AD70" i="2"/>
  <c r="AD72" i="2"/>
  <c r="AE60" i="2"/>
  <c r="AE61" i="2"/>
  <c r="AE62" i="2"/>
  <c r="AE63" i="2"/>
  <c r="AC69" i="2"/>
  <c r="G47" i="9"/>
  <c r="AL45" i="9"/>
  <c r="AL46" i="9" s="1"/>
  <c r="AL54" i="8"/>
  <c r="D54" i="5"/>
  <c r="D49" i="5"/>
  <c r="D50" i="5"/>
  <c r="AI45" i="5"/>
  <c r="AI48" i="5" s="1"/>
  <c r="E46" i="5"/>
  <c r="AF53" i="2"/>
  <c r="T9" i="34"/>
  <c r="AE71" i="2" l="1"/>
  <c r="T32" i="34"/>
  <c r="AF66" i="2"/>
  <c r="AF68" i="2"/>
  <c r="AF65" i="2"/>
  <c r="AF67" i="2"/>
  <c r="AC57" i="2"/>
  <c r="AD56" i="2"/>
  <c r="AM44" i="20"/>
  <c r="AL48" i="20"/>
  <c r="AJ68" i="8"/>
  <c r="AJ71" i="8" s="1"/>
  <c r="AJ70" i="8"/>
  <c r="AJ65" i="8" s="1"/>
  <c r="AJ69" i="8"/>
  <c r="AI64" i="8"/>
  <c r="AI66" i="8" s="1"/>
  <c r="AK63" i="8"/>
  <c r="AK58" i="8"/>
  <c r="AJ62" i="8"/>
  <c r="AK57" i="8"/>
  <c r="AL55" i="8"/>
  <c r="AL56" i="8" s="1"/>
  <c r="AL60" i="8" s="1"/>
  <c r="AL61" i="8" s="1"/>
  <c r="AJ44" i="7"/>
  <c r="AJ46" i="7" s="1"/>
  <c r="AI46" i="7"/>
  <c r="AK47" i="7"/>
  <c r="AK45" i="7" s="1"/>
  <c r="G55" i="9"/>
  <c r="G54" i="9"/>
  <c r="G52" i="9"/>
  <c r="G51" i="9"/>
  <c r="AK49" i="9"/>
  <c r="AK50" i="9"/>
  <c r="AD76" i="2"/>
  <c r="AD69" i="2"/>
  <c r="AE72" i="2"/>
  <c r="AF60" i="2"/>
  <c r="AF63" i="2"/>
  <c r="AF62" i="2"/>
  <c r="AF61" i="2"/>
  <c r="AE70" i="2"/>
  <c r="H47" i="9"/>
  <c r="H52" i="9" s="1"/>
  <c r="AM45" i="9"/>
  <c r="AM46" i="9" s="1"/>
  <c r="F53" i="9"/>
  <c r="AM54" i="8"/>
  <c r="E54" i="5"/>
  <c r="E49" i="5"/>
  <c r="E50" i="5"/>
  <c r="D56" i="5"/>
  <c r="D51" i="5"/>
  <c r="D52" i="5" s="1"/>
  <c r="F46" i="5"/>
  <c r="AG53" i="2"/>
  <c r="AG66" i="2" l="1"/>
  <c r="AG68" i="2"/>
  <c r="AG65" i="2"/>
  <c r="AG67" i="2"/>
  <c r="AD57" i="2"/>
  <c r="AF71" i="2"/>
  <c r="AE56" i="2"/>
  <c r="AN44" i="20"/>
  <c r="AM48" i="20"/>
  <c r="AK68" i="8"/>
  <c r="AK71" i="8" s="1"/>
  <c r="AK70" i="8"/>
  <c r="AK65" i="8" s="1"/>
  <c r="AK69" i="8"/>
  <c r="AJ64" i="8"/>
  <c r="AJ66" i="8" s="1"/>
  <c r="AL63" i="8"/>
  <c r="AL58" i="8"/>
  <c r="AK62" i="8"/>
  <c r="AL57" i="8"/>
  <c r="AM55" i="8"/>
  <c r="AM56" i="8" s="1"/>
  <c r="AM60" i="8" s="1"/>
  <c r="AM61" i="8" s="1"/>
  <c r="AK44" i="7"/>
  <c r="AL47" i="7"/>
  <c r="AL45" i="7" s="1"/>
  <c r="G56" i="9"/>
  <c r="H55" i="9"/>
  <c r="H54" i="9"/>
  <c r="H56" i="9" s="1"/>
  <c r="F30" i="9" s="1"/>
  <c r="H51" i="9"/>
  <c r="AL49" i="9"/>
  <c r="AL50" i="9"/>
  <c r="AF70" i="2"/>
  <c r="AE69" i="2"/>
  <c r="AE76" i="2"/>
  <c r="AG60" i="2"/>
  <c r="AG61" i="2"/>
  <c r="AG62" i="2"/>
  <c r="AG63" i="2"/>
  <c r="AF72" i="2"/>
  <c r="I47" i="9"/>
  <c r="AN45" i="9"/>
  <c r="AN46" i="9" s="1"/>
  <c r="G53" i="9"/>
  <c r="AN54" i="8"/>
  <c r="F54" i="5"/>
  <c r="F50" i="5"/>
  <c r="F49" i="5"/>
  <c r="E56" i="5"/>
  <c r="E51" i="5"/>
  <c r="E52" i="5" s="1"/>
  <c r="G46" i="5"/>
  <c r="AH53" i="2"/>
  <c r="T17" i="34"/>
  <c r="T33" i="34" l="1"/>
  <c r="AE57" i="2"/>
  <c r="AH66" i="2"/>
  <c r="AH67" i="2"/>
  <c r="AH68" i="2"/>
  <c r="AH65" i="2"/>
  <c r="AG71" i="2"/>
  <c r="AF56" i="2"/>
  <c r="AO44" i="20"/>
  <c r="AN48" i="20"/>
  <c r="AL68" i="8"/>
  <c r="AL71" i="8" s="1"/>
  <c r="AL70" i="8"/>
  <c r="AL65" i="8" s="1"/>
  <c r="H53" i="9"/>
  <c r="AL69" i="8"/>
  <c r="AK64" i="8"/>
  <c r="AK66" i="8" s="1"/>
  <c r="AM63" i="8"/>
  <c r="AM58" i="8"/>
  <c r="AL62" i="8"/>
  <c r="AM57" i="8"/>
  <c r="AN55" i="8"/>
  <c r="AN56" i="8" s="1"/>
  <c r="AN60" i="8" s="1"/>
  <c r="AN61" i="8" s="1"/>
  <c r="AL44" i="7"/>
  <c r="AK46" i="7"/>
  <c r="AM47" i="7"/>
  <c r="AM45" i="7" s="1"/>
  <c r="I55" i="9"/>
  <c r="I54" i="9"/>
  <c r="I56" i="9" s="1"/>
  <c r="I51" i="9"/>
  <c r="I52" i="9"/>
  <c r="AM49" i="9"/>
  <c r="AM50" i="9"/>
  <c r="AG72" i="2"/>
  <c r="AF69" i="2"/>
  <c r="AF76" i="2"/>
  <c r="AH60" i="2"/>
  <c r="AH61" i="2"/>
  <c r="AH62" i="2"/>
  <c r="AH63" i="2"/>
  <c r="AG70" i="2"/>
  <c r="AO45" i="9"/>
  <c r="AO46" i="9" s="1"/>
  <c r="J47" i="9"/>
  <c r="AO54" i="8"/>
  <c r="G54" i="5"/>
  <c r="G49" i="5"/>
  <c r="G50" i="5"/>
  <c r="F56" i="5"/>
  <c r="F51" i="5"/>
  <c r="F52" i="5" s="1"/>
  <c r="H46" i="5"/>
  <c r="AI53" i="2"/>
  <c r="AF57" i="2" l="1"/>
  <c r="AI66" i="2"/>
  <c r="AI67" i="2"/>
  <c r="AI68" i="2"/>
  <c r="AI65" i="2"/>
  <c r="AG56" i="2"/>
  <c r="AH71" i="2"/>
  <c r="AP44" i="20"/>
  <c r="AO48" i="20"/>
  <c r="AM68" i="8"/>
  <c r="AM71" i="8" s="1"/>
  <c r="AM70" i="8"/>
  <c r="AM65" i="8" s="1"/>
  <c r="AM69" i="8"/>
  <c r="AL64" i="8"/>
  <c r="AL66" i="8" s="1"/>
  <c r="AN63" i="8"/>
  <c r="AN58" i="8"/>
  <c r="AM62" i="8"/>
  <c r="AN57" i="8"/>
  <c r="AO55" i="8"/>
  <c r="AO56" i="8" s="1"/>
  <c r="AO60" i="8" s="1"/>
  <c r="AO61" i="8" s="1"/>
  <c r="AM44" i="7"/>
  <c r="AM46" i="7" s="1"/>
  <c r="AL46" i="7"/>
  <c r="AN47" i="7"/>
  <c r="AN45" i="7" s="1"/>
  <c r="J54" i="9"/>
  <c r="J56" i="9" s="1"/>
  <c r="J55" i="9"/>
  <c r="J52" i="9"/>
  <c r="J51" i="9"/>
  <c r="AN49" i="9"/>
  <c r="AN50" i="9"/>
  <c r="AG76" i="2"/>
  <c r="AG69" i="2"/>
  <c r="AH72" i="2"/>
  <c r="AH70" i="2"/>
  <c r="AI60" i="2"/>
  <c r="AI63" i="2"/>
  <c r="AI61" i="2"/>
  <c r="AI62" i="2"/>
  <c r="K47" i="9"/>
  <c r="I53" i="9"/>
  <c r="AP45" i="9"/>
  <c r="AP46" i="9" s="1"/>
  <c r="AP54" i="8"/>
  <c r="H54" i="5"/>
  <c r="H49" i="5"/>
  <c r="H50" i="5"/>
  <c r="G56" i="5"/>
  <c r="G51" i="5"/>
  <c r="G52" i="5" s="1"/>
  <c r="I46" i="5"/>
  <c r="AJ53" i="2"/>
  <c r="AH56" i="2" l="1"/>
  <c r="AJ66" i="2"/>
  <c r="AJ67" i="2"/>
  <c r="AJ68" i="2"/>
  <c r="AJ65" i="2"/>
  <c r="AI71" i="2"/>
  <c r="AQ44" i="20"/>
  <c r="AP48" i="20"/>
  <c r="AN68" i="8"/>
  <c r="AN71" i="8" s="1"/>
  <c r="AN70" i="8"/>
  <c r="AN65" i="8" s="1"/>
  <c r="AN69" i="8"/>
  <c r="AM64" i="8"/>
  <c r="AM66" i="8" s="1"/>
  <c r="AO63" i="8"/>
  <c r="AO58" i="8"/>
  <c r="AN62" i="8"/>
  <c r="AO57" i="8"/>
  <c r="AP55" i="8"/>
  <c r="AP56" i="8" s="1"/>
  <c r="AP60" i="8" s="1"/>
  <c r="AP61" i="8" s="1"/>
  <c r="AN44" i="7"/>
  <c r="AO47" i="7"/>
  <c r="AO45" i="7" s="1"/>
  <c r="K54" i="9"/>
  <c r="K56" i="9" s="1"/>
  <c r="K55" i="9"/>
  <c r="K51" i="9"/>
  <c r="K52" i="9"/>
  <c r="AO49" i="9"/>
  <c r="AO50" i="9"/>
  <c r="AI70" i="2"/>
  <c r="AH76" i="2"/>
  <c r="AG57" i="2"/>
  <c r="AJ60" i="2"/>
  <c r="AJ63" i="2"/>
  <c r="AJ61" i="2"/>
  <c r="AJ62" i="2"/>
  <c r="AI72" i="2"/>
  <c r="AH69" i="2"/>
  <c r="AQ45" i="9"/>
  <c r="AQ46" i="9" s="1"/>
  <c r="L47" i="9"/>
  <c r="J53" i="9"/>
  <c r="AQ54" i="8"/>
  <c r="I54" i="5"/>
  <c r="I49" i="5"/>
  <c r="I50" i="5"/>
  <c r="H56" i="5"/>
  <c r="H51" i="5"/>
  <c r="H52" i="5" s="1"/>
  <c r="J46" i="5"/>
  <c r="AK53" i="2"/>
  <c r="U9" i="34"/>
  <c r="U32" i="34" l="1"/>
  <c r="AH57" i="2"/>
  <c r="AK67" i="2"/>
  <c r="AK66" i="2"/>
  <c r="AK65" i="2"/>
  <c r="AK68" i="2"/>
  <c r="AI56" i="2"/>
  <c r="AJ71" i="2"/>
  <c r="AR44" i="20"/>
  <c r="AQ48" i="20"/>
  <c r="AO68" i="8"/>
  <c r="AO71" i="8" s="1"/>
  <c r="AO70" i="8"/>
  <c r="AO65" i="8" s="1"/>
  <c r="AO69" i="8"/>
  <c r="AN64" i="8"/>
  <c r="AN66" i="8" s="1"/>
  <c r="AP63" i="8"/>
  <c r="AP58" i="8"/>
  <c r="AO62" i="8"/>
  <c r="AP57" i="8"/>
  <c r="AQ55" i="8"/>
  <c r="AQ56" i="8" s="1"/>
  <c r="AO44" i="7"/>
  <c r="AN46" i="7"/>
  <c r="AP47" i="7"/>
  <c r="AP45" i="7" s="1"/>
  <c r="L54" i="9"/>
  <c r="L56" i="9" s="1"/>
  <c r="L55" i="9"/>
  <c r="L51" i="9"/>
  <c r="L52" i="9"/>
  <c r="AP49" i="9"/>
  <c r="AP50" i="9"/>
  <c r="AI69" i="2"/>
  <c r="AI76" i="2"/>
  <c r="AJ72" i="2"/>
  <c r="AJ70" i="2"/>
  <c r="AK60" i="2"/>
  <c r="AK63" i="2"/>
  <c r="AK61" i="2"/>
  <c r="AK62" i="2"/>
  <c r="M47" i="9"/>
  <c r="K53" i="9"/>
  <c r="AR45" i="9"/>
  <c r="AR46" i="9" s="1"/>
  <c r="AR54" i="8"/>
  <c r="J54" i="5"/>
  <c r="J49" i="5"/>
  <c r="J50" i="5"/>
  <c r="I56" i="5"/>
  <c r="I51" i="5"/>
  <c r="I52" i="5" s="1"/>
  <c r="K46" i="5"/>
  <c r="AL53" i="2"/>
  <c r="AI57" i="2" l="1"/>
  <c r="AL67" i="2"/>
  <c r="AL66" i="2"/>
  <c r="AL68" i="2"/>
  <c r="AL65" i="2"/>
  <c r="AJ56" i="2"/>
  <c r="AK71" i="2"/>
  <c r="AS44" i="20"/>
  <c r="AR48" i="20"/>
  <c r="AP68" i="8"/>
  <c r="AP71" i="8" s="1"/>
  <c r="AP70" i="8"/>
  <c r="AP65" i="8" s="1"/>
  <c r="AP69" i="8"/>
  <c r="AO64" i="8"/>
  <c r="AO66" i="8" s="1"/>
  <c r="AQ63" i="8"/>
  <c r="AQ58" i="8"/>
  <c r="AP62" i="8"/>
  <c r="AQ57" i="8"/>
  <c r="AQ60" i="8"/>
  <c r="AQ61" i="8" s="1"/>
  <c r="AR55" i="8"/>
  <c r="AR56" i="8" s="1"/>
  <c r="AR60" i="8" s="1"/>
  <c r="AR61" i="8" s="1"/>
  <c r="AS54" i="8"/>
  <c r="AP44" i="7"/>
  <c r="AO46" i="7"/>
  <c r="AQ47" i="7"/>
  <c r="AQ45" i="7" s="1"/>
  <c r="AS45" i="9"/>
  <c r="AS46" i="9" s="1"/>
  <c r="M54" i="9"/>
  <c r="M56" i="9" s="1"/>
  <c r="F31" i="9" s="1"/>
  <c r="M55" i="9"/>
  <c r="AK70" i="2"/>
  <c r="M52" i="9"/>
  <c r="M51" i="9"/>
  <c r="AQ49" i="9"/>
  <c r="AQ50" i="9"/>
  <c r="L53" i="9"/>
  <c r="AJ69" i="2"/>
  <c r="AJ76" i="2"/>
  <c r="AL60" i="2"/>
  <c r="AL61" i="2"/>
  <c r="AL63" i="2"/>
  <c r="AL62" i="2"/>
  <c r="AK72" i="2"/>
  <c r="N47" i="9"/>
  <c r="K54" i="5"/>
  <c r="K50" i="5"/>
  <c r="K49" i="5"/>
  <c r="J56" i="5"/>
  <c r="J51" i="5"/>
  <c r="J52" i="5" s="1"/>
  <c r="L46" i="5"/>
  <c r="AM53" i="2"/>
  <c r="U17" i="34"/>
  <c r="U33" i="34" l="1"/>
  <c r="AK56" i="2"/>
  <c r="AJ57" i="2"/>
  <c r="AM67" i="2"/>
  <c r="AM68" i="2"/>
  <c r="AM66" i="2"/>
  <c r="AM65" i="2"/>
  <c r="AL71" i="2"/>
  <c r="AK76" i="2"/>
  <c r="AT44" i="20"/>
  <c r="AS48" i="20"/>
  <c r="AQ68" i="8"/>
  <c r="AQ71" i="8" s="1"/>
  <c r="AQ70" i="8"/>
  <c r="AQ65" i="8" s="1"/>
  <c r="AS50" i="9"/>
  <c r="AT45" i="9"/>
  <c r="AT46" i="9" s="1"/>
  <c r="AQ69" i="8"/>
  <c r="AP64" i="8"/>
  <c r="AP66" i="8" s="1"/>
  <c r="AR63" i="8"/>
  <c r="AR58" i="8"/>
  <c r="AQ62" i="8"/>
  <c r="AQ64" i="8" s="1"/>
  <c r="AR57" i="8"/>
  <c r="AS55" i="8"/>
  <c r="AS56" i="8" s="1"/>
  <c r="AS60" i="8" s="1"/>
  <c r="AS61" i="8" s="1"/>
  <c r="AT54" i="8"/>
  <c r="AQ44" i="7"/>
  <c r="AQ46" i="7" s="1"/>
  <c r="AP46" i="7"/>
  <c r="AR47" i="7"/>
  <c r="M53" i="9"/>
  <c r="N54" i="9"/>
  <c r="N56" i="9" s="1"/>
  <c r="N55" i="9"/>
  <c r="N52" i="9"/>
  <c r="N51" i="9"/>
  <c r="AR49" i="9"/>
  <c r="AR50" i="9"/>
  <c r="AL72" i="2"/>
  <c r="AK69" i="2"/>
  <c r="AL70" i="2"/>
  <c r="AM60" i="2"/>
  <c r="AM61" i="2"/>
  <c r="AM63" i="2"/>
  <c r="AM62" i="2"/>
  <c r="O47" i="9"/>
  <c r="L54" i="5"/>
  <c r="L50" i="5"/>
  <c r="L49" i="5"/>
  <c r="K56" i="5"/>
  <c r="K51" i="5"/>
  <c r="K52" i="5" s="1"/>
  <c r="M46" i="5"/>
  <c r="AN53" i="2"/>
  <c r="AK57" i="2" l="1"/>
  <c r="AN67" i="2"/>
  <c r="AN66" i="2"/>
  <c r="AN65" i="2"/>
  <c r="AN68" i="2"/>
  <c r="AL56" i="2"/>
  <c r="AU45" i="9"/>
  <c r="AM71" i="2"/>
  <c r="AU44" i="20"/>
  <c r="AT48" i="20"/>
  <c r="AR68" i="8"/>
  <c r="AR71" i="8" s="1"/>
  <c r="C42" i="8" s="1"/>
  <c r="AR70" i="8"/>
  <c r="AR65" i="8" s="1"/>
  <c r="AQ66" i="8"/>
  <c r="AS49" i="9"/>
  <c r="AR69" i="8"/>
  <c r="AS63" i="8"/>
  <c r="AS58" i="8"/>
  <c r="AR62" i="8"/>
  <c r="AS57" i="8"/>
  <c r="AT55" i="8"/>
  <c r="AT56" i="8" s="1"/>
  <c r="AT60" i="8" s="1"/>
  <c r="AT61" i="8" s="1"/>
  <c r="AU54" i="8"/>
  <c r="AR45" i="7"/>
  <c r="C30" i="7"/>
  <c r="AR44" i="7"/>
  <c r="AS47" i="7"/>
  <c r="AS45" i="7" s="1"/>
  <c r="O54" i="9"/>
  <c r="O56" i="9" s="1"/>
  <c r="O55" i="9"/>
  <c r="AT49" i="9"/>
  <c r="AT50" i="9"/>
  <c r="O51" i="9"/>
  <c r="O52" i="9"/>
  <c r="AL76" i="2"/>
  <c r="AL69" i="2"/>
  <c r="AM70" i="2"/>
  <c r="AM72" i="2"/>
  <c r="AN60" i="2"/>
  <c r="AN62" i="2"/>
  <c r="AN63" i="2"/>
  <c r="AN61" i="2"/>
  <c r="N53" i="9"/>
  <c r="P47" i="9"/>
  <c r="M54" i="5"/>
  <c r="M49" i="5"/>
  <c r="M50" i="5"/>
  <c r="L56" i="5"/>
  <c r="L51" i="5"/>
  <c r="L52" i="5" s="1"/>
  <c r="N46" i="5"/>
  <c r="AO53" i="2"/>
  <c r="H30" i="34"/>
  <c r="H26" i="34"/>
  <c r="AU46" i="9" l="1"/>
  <c r="AV45" i="9"/>
  <c r="AV46" i="9" s="1"/>
  <c r="AV49" i="9" s="1"/>
  <c r="AL57" i="2"/>
  <c r="AO65" i="2"/>
  <c r="AO67" i="2"/>
  <c r="AO68" i="2"/>
  <c r="AO66" i="2"/>
  <c r="AM56" i="2"/>
  <c r="AN71" i="2"/>
  <c r="AV44" i="20"/>
  <c r="AV48" i="20" s="1"/>
  <c r="AU48" i="20"/>
  <c r="AS68" i="8"/>
  <c r="AS71" i="8" s="1"/>
  <c r="AS70" i="8"/>
  <c r="AS65" i="8" s="1"/>
  <c r="AS69" i="8"/>
  <c r="AR64" i="8"/>
  <c r="AR66" i="8" s="1"/>
  <c r="AT63" i="8"/>
  <c r="AT58" i="8"/>
  <c r="AS62" i="8"/>
  <c r="AT57" i="8"/>
  <c r="AU55" i="8"/>
  <c r="AU56" i="8" s="1"/>
  <c r="AU60" i="8" s="1"/>
  <c r="AU61" i="8" s="1"/>
  <c r="AV54" i="8"/>
  <c r="AS44" i="7"/>
  <c r="AR46" i="7"/>
  <c r="AT47" i="7"/>
  <c r="AT45" i="7" s="1"/>
  <c r="P54" i="9"/>
  <c r="P56" i="9" s="1"/>
  <c r="P55" i="9"/>
  <c r="P52" i="9"/>
  <c r="P51" i="9"/>
  <c r="AM76" i="2"/>
  <c r="AO60" i="2"/>
  <c r="AO63" i="2"/>
  <c r="AO61" i="2"/>
  <c r="AO62" i="2"/>
  <c r="AN70" i="2"/>
  <c r="AN72" i="2"/>
  <c r="AM69" i="2"/>
  <c r="O53" i="9"/>
  <c r="Q47" i="9"/>
  <c r="N54" i="5"/>
  <c r="N49" i="5"/>
  <c r="N50" i="5"/>
  <c r="M56" i="5"/>
  <c r="M51" i="5"/>
  <c r="M52" i="5" s="1"/>
  <c r="O46" i="5"/>
  <c r="AP53" i="2"/>
  <c r="V9" i="34"/>
  <c r="AU50" i="9" l="1"/>
  <c r="AU49" i="9"/>
  <c r="V32" i="34"/>
  <c r="AP65" i="2"/>
  <c r="AP67" i="2"/>
  <c r="AP66" i="2"/>
  <c r="AP68" i="2"/>
  <c r="AM57" i="2"/>
  <c r="AO71" i="2"/>
  <c r="AN56" i="2"/>
  <c r="AT68" i="8"/>
  <c r="AT71" i="8" s="1"/>
  <c r="AT70" i="8"/>
  <c r="AT65" i="8" s="1"/>
  <c r="AV50" i="9"/>
  <c r="AT69" i="8"/>
  <c r="AS64" i="8"/>
  <c r="AS66" i="8" s="1"/>
  <c r="AU63" i="8"/>
  <c r="AU58" i="8"/>
  <c r="AT62" i="8"/>
  <c r="AU57" i="8"/>
  <c r="AV55" i="8"/>
  <c r="AV56" i="8" s="1"/>
  <c r="AV60" i="8" s="1"/>
  <c r="AV61" i="8" s="1"/>
  <c r="AT44" i="7"/>
  <c r="AS46" i="7"/>
  <c r="AU47" i="7"/>
  <c r="AU45" i="7" s="1"/>
  <c r="Q55" i="9"/>
  <c r="Q54" i="9"/>
  <c r="Q56" i="9" s="1"/>
  <c r="Q51" i="9"/>
  <c r="Q52" i="9"/>
  <c r="AN76" i="2"/>
  <c r="AO70" i="2"/>
  <c r="AP60" i="2"/>
  <c r="AP61" i="2"/>
  <c r="AP62" i="2"/>
  <c r="AP63" i="2"/>
  <c r="AN69" i="2"/>
  <c r="AO72" i="2"/>
  <c r="P53" i="9"/>
  <c r="R47" i="9"/>
  <c r="O54" i="5"/>
  <c r="O50" i="5"/>
  <c r="O49" i="5"/>
  <c r="N56" i="5"/>
  <c r="N51" i="5"/>
  <c r="N52" i="5" s="1"/>
  <c r="P46" i="5"/>
  <c r="AQ53" i="2"/>
  <c r="AN57" i="2" l="1"/>
  <c r="AQ68" i="2"/>
  <c r="AQ65" i="2"/>
  <c r="AQ66" i="2"/>
  <c r="AQ67" i="2"/>
  <c r="AO56" i="2"/>
  <c r="AP71" i="2"/>
  <c r="AU68" i="8"/>
  <c r="AU71" i="8" s="1"/>
  <c r="AU70" i="8"/>
  <c r="AU65" i="8" s="1"/>
  <c r="AU69" i="8"/>
  <c r="AT64" i="8"/>
  <c r="AT66" i="8" s="1"/>
  <c r="AV63" i="8"/>
  <c r="AV58" i="8"/>
  <c r="AV62" i="8" s="1"/>
  <c r="AV64" i="8" s="1"/>
  <c r="AU62" i="8"/>
  <c r="AV57" i="8"/>
  <c r="AU44" i="7"/>
  <c r="AU46" i="7" s="1"/>
  <c r="AT46" i="7"/>
  <c r="AV47" i="7"/>
  <c r="AV45" i="7" s="1"/>
  <c r="R55" i="9"/>
  <c r="R54" i="9"/>
  <c r="R56" i="9" s="1"/>
  <c r="F32" i="9" s="1"/>
  <c r="R51" i="9"/>
  <c r="R52" i="9"/>
  <c r="AR53" i="2"/>
  <c r="AO76" i="2"/>
  <c r="AO69" i="2"/>
  <c r="AQ60" i="2"/>
  <c r="AQ62" i="2"/>
  <c r="AQ63" i="2"/>
  <c r="AQ61" i="2"/>
  <c r="AP70" i="2"/>
  <c r="AP72" i="2"/>
  <c r="S47" i="9"/>
  <c r="Q53" i="9"/>
  <c r="P54" i="5"/>
  <c r="P50" i="5"/>
  <c r="P49" i="5"/>
  <c r="O56" i="5"/>
  <c r="O51" i="5"/>
  <c r="O52" i="5" s="1"/>
  <c r="Q46" i="5"/>
  <c r="V17" i="34"/>
  <c r="V33" i="34" l="1"/>
  <c r="AO57" i="2"/>
  <c r="AR68" i="2"/>
  <c r="AR65" i="2"/>
  <c r="AR66" i="2"/>
  <c r="AR67" i="2"/>
  <c r="AP56" i="2"/>
  <c r="AQ71" i="2"/>
  <c r="AV68" i="8"/>
  <c r="AV71" i="8" s="1"/>
  <c r="AV70" i="8"/>
  <c r="AV65" i="8" s="1"/>
  <c r="AV66" i="8" s="1"/>
  <c r="AV69" i="8"/>
  <c r="AU64" i="8"/>
  <c r="AU66" i="8" s="1"/>
  <c r="AV44" i="7"/>
  <c r="S55" i="9"/>
  <c r="S54" i="9"/>
  <c r="S56" i="9" s="1"/>
  <c r="S52" i="9"/>
  <c r="S51" i="9"/>
  <c r="AS53" i="2"/>
  <c r="AR60" i="2"/>
  <c r="AR62" i="2"/>
  <c r="AR61" i="2"/>
  <c r="AR63" i="2"/>
  <c r="AQ70" i="2"/>
  <c r="AP76" i="2"/>
  <c r="AP69" i="2"/>
  <c r="AQ72" i="2"/>
  <c r="R53" i="9"/>
  <c r="T47" i="9"/>
  <c r="Q54" i="5"/>
  <c r="Q49" i="5"/>
  <c r="Q50" i="5"/>
  <c r="P56" i="5"/>
  <c r="P51" i="5"/>
  <c r="P52" i="5" s="1"/>
  <c r="R46" i="5"/>
  <c r="AS68" i="2" l="1"/>
  <c r="AS65" i="2"/>
  <c r="AS67" i="2"/>
  <c r="AS66" i="2"/>
  <c r="C45" i="8"/>
  <c r="AP57" i="2"/>
  <c r="AR71" i="2"/>
  <c r="AQ56" i="2"/>
  <c r="AQ76" i="2"/>
  <c r="C40" i="2" s="1"/>
  <c r="AV46" i="7"/>
  <c r="C31" i="7" s="1"/>
  <c r="T54" i="9"/>
  <c r="T56" i="9" s="1"/>
  <c r="T55" i="9"/>
  <c r="T52" i="9"/>
  <c r="T51" i="9"/>
  <c r="AR70" i="2"/>
  <c r="AR72" i="2"/>
  <c r="AT53" i="2"/>
  <c r="AS61" i="2"/>
  <c r="AS62" i="2"/>
  <c r="AS60" i="2"/>
  <c r="AS63" i="2"/>
  <c r="AQ69" i="2"/>
  <c r="S53" i="9"/>
  <c r="U47" i="9"/>
  <c r="R54" i="5"/>
  <c r="R49" i="5"/>
  <c r="R50" i="5"/>
  <c r="Q56" i="5"/>
  <c r="Q51" i="5"/>
  <c r="Q52" i="5" s="1"/>
  <c r="S46" i="5"/>
  <c r="H4" i="34"/>
  <c r="I30" i="34"/>
  <c r="J30" i="34"/>
  <c r="I26" i="34"/>
  <c r="J26" i="34"/>
  <c r="AQ57" i="2" l="1"/>
  <c r="AT68" i="2"/>
  <c r="AT65" i="2"/>
  <c r="AT67" i="2"/>
  <c r="AT66" i="2"/>
  <c r="AR56" i="2"/>
  <c r="AS71" i="2"/>
  <c r="U54" i="9"/>
  <c r="U56" i="9" s="1"/>
  <c r="U55" i="9"/>
  <c r="U51" i="9"/>
  <c r="U52" i="9"/>
  <c r="AS72" i="2"/>
  <c r="AR76" i="2"/>
  <c r="AS70" i="2"/>
  <c r="AU53" i="2"/>
  <c r="AT63" i="2"/>
  <c r="AT60" i="2"/>
  <c r="AT62" i="2"/>
  <c r="AT61" i="2"/>
  <c r="AR69" i="2"/>
  <c r="C39" i="2"/>
  <c r="T53" i="9"/>
  <c r="V47" i="9"/>
  <c r="R56" i="5"/>
  <c r="R51" i="5"/>
  <c r="R52" i="5" s="1"/>
  <c r="S54" i="5"/>
  <c r="S49" i="5"/>
  <c r="S50" i="5"/>
  <c r="T46" i="5"/>
  <c r="G4" i="34"/>
  <c r="W32" i="34" l="1"/>
  <c r="AR57" i="2"/>
  <c r="AU66" i="2"/>
  <c r="AU68" i="2"/>
  <c r="AU65" i="2"/>
  <c r="AU67" i="2"/>
  <c r="AS56" i="2"/>
  <c r="AT71" i="2"/>
  <c r="V55" i="9"/>
  <c r="V54" i="9"/>
  <c r="V56" i="9" s="1"/>
  <c r="AS76" i="2"/>
  <c r="V51" i="9"/>
  <c r="V52" i="9"/>
  <c r="AT70" i="2"/>
  <c r="AT72" i="2"/>
  <c r="AU63" i="2"/>
  <c r="AU60" i="2"/>
  <c r="AU62" i="2"/>
  <c r="AU61" i="2"/>
  <c r="AS69" i="2"/>
  <c r="U53" i="9"/>
  <c r="W47" i="9"/>
  <c r="S56" i="5"/>
  <c r="S51" i="5"/>
  <c r="S52" i="5" s="1"/>
  <c r="T54" i="5"/>
  <c r="T49" i="5"/>
  <c r="T50" i="5"/>
  <c r="U46" i="5"/>
  <c r="AU71" i="2" l="1"/>
  <c r="AS57" i="2"/>
  <c r="AT56" i="2"/>
  <c r="W55" i="9"/>
  <c r="W54" i="9"/>
  <c r="W56" i="9" s="1"/>
  <c r="F33" i="9" s="1"/>
  <c r="AT76" i="2"/>
  <c r="W51" i="9"/>
  <c r="W52" i="9"/>
  <c r="AU70" i="2"/>
  <c r="AU72" i="2"/>
  <c r="AT69" i="2"/>
  <c r="X47" i="9"/>
  <c r="V53" i="9"/>
  <c r="T56" i="5"/>
  <c r="T51" i="5"/>
  <c r="T52" i="5" s="1"/>
  <c r="U54" i="5"/>
  <c r="U49" i="5"/>
  <c r="U50" i="5"/>
  <c r="V46" i="5"/>
  <c r="W17" i="34"/>
  <c r="AU76" i="2" l="1"/>
  <c r="W33" i="34"/>
  <c r="AT57" i="2"/>
  <c r="AU56" i="2"/>
  <c r="X54" i="9"/>
  <c r="X56" i="9" s="1"/>
  <c r="X55" i="9"/>
  <c r="X51" i="9"/>
  <c r="X52" i="9"/>
  <c r="AU69" i="2"/>
  <c r="Y47" i="9"/>
  <c r="W53" i="9"/>
  <c r="U56" i="5"/>
  <c r="U51" i="5"/>
  <c r="U52" i="5" s="1"/>
  <c r="V54" i="5"/>
  <c r="V49" i="5"/>
  <c r="V50" i="5"/>
  <c r="W46" i="5"/>
  <c r="AU57" i="2" l="1"/>
  <c r="C42" i="2" s="1"/>
  <c r="Y55" i="9"/>
  <c r="Y54" i="9"/>
  <c r="Y56" i="9" s="1"/>
  <c r="Y52" i="9"/>
  <c r="Y51" i="9"/>
  <c r="Z47" i="9"/>
  <c r="X53" i="9"/>
  <c r="V56" i="5"/>
  <c r="V51" i="5"/>
  <c r="V52" i="5" s="1"/>
  <c r="W54" i="5"/>
  <c r="W49" i="5"/>
  <c r="W50" i="5"/>
  <c r="X46" i="5"/>
  <c r="I4" i="34"/>
  <c r="J4" i="34"/>
  <c r="Z55" i="9" l="1"/>
  <c r="Z54" i="9"/>
  <c r="Z51" i="9"/>
  <c r="Z52" i="9"/>
  <c r="Y53" i="9"/>
  <c r="AA47" i="9"/>
  <c r="W56" i="5"/>
  <c r="W51" i="5"/>
  <c r="W52" i="5" s="1"/>
  <c r="X54" i="5"/>
  <c r="X49" i="5"/>
  <c r="X50" i="5"/>
  <c r="Y46" i="5"/>
  <c r="X9" i="34"/>
  <c r="F37" i="34" l="1"/>
  <c r="X32" i="34"/>
  <c r="Z56" i="9"/>
  <c r="C35" i="9"/>
  <c r="AA54" i="9"/>
  <c r="AA56" i="9" s="1"/>
  <c r="AA55" i="9"/>
  <c r="AA51" i="9"/>
  <c r="AA52" i="9"/>
  <c r="AB47" i="9"/>
  <c r="Z53" i="9"/>
  <c r="Y54" i="5"/>
  <c r="Y49" i="5"/>
  <c r="Y50" i="5"/>
  <c r="X56" i="5"/>
  <c r="X51" i="5"/>
  <c r="X52" i="5" s="1"/>
  <c r="Z46" i="5"/>
  <c r="F35" i="34" l="1"/>
  <c r="G35" i="34" s="1"/>
  <c r="G37" i="34"/>
  <c r="AB55" i="9"/>
  <c r="AB54" i="9"/>
  <c r="AB56" i="9" s="1"/>
  <c r="F34" i="9" s="1"/>
  <c r="AB52" i="9"/>
  <c r="AB51" i="9"/>
  <c r="AA53" i="9"/>
  <c r="AC47" i="9"/>
  <c r="Y56" i="5"/>
  <c r="Y51" i="5"/>
  <c r="Y52" i="5" s="1"/>
  <c r="Z54" i="5"/>
  <c r="Z49" i="5"/>
  <c r="Z50" i="5"/>
  <c r="AA46" i="5"/>
  <c r="X17" i="34"/>
  <c r="F40" i="34" l="1"/>
  <c r="X33" i="34"/>
  <c r="AC55" i="9"/>
  <c r="AC54" i="9"/>
  <c r="AC56" i="9" s="1"/>
  <c r="AC52" i="9"/>
  <c r="AC51" i="9"/>
  <c r="AB53" i="9"/>
  <c r="AD47" i="9"/>
  <c r="AA54" i="5"/>
  <c r="AA50" i="5"/>
  <c r="AA49" i="5"/>
  <c r="Z56" i="5"/>
  <c r="Z51" i="5"/>
  <c r="Z52" i="5" s="1"/>
  <c r="AB46" i="5"/>
  <c r="F38" i="34" l="1"/>
  <c r="G40" i="34"/>
  <c r="C32" i="9"/>
  <c r="C33" i="9"/>
  <c r="AD54" i="9"/>
  <c r="AD56" i="9" s="1"/>
  <c r="AD55" i="9"/>
  <c r="AD52" i="9"/>
  <c r="AD51" i="9"/>
  <c r="AC53" i="9"/>
  <c r="AE47" i="9"/>
  <c r="AA56" i="5"/>
  <c r="AA51" i="5"/>
  <c r="AA52" i="5" s="1"/>
  <c r="AB54" i="5"/>
  <c r="AB50" i="5"/>
  <c r="AB49" i="5"/>
  <c r="AC46" i="5"/>
  <c r="G17" i="34"/>
  <c r="F17" i="34"/>
  <c r="G38" i="34" l="1"/>
  <c r="AD53" i="9"/>
  <c r="AE55" i="9"/>
  <c r="AE54" i="9"/>
  <c r="AE56" i="9" s="1"/>
  <c r="AE52" i="9"/>
  <c r="AE51" i="9"/>
  <c r="AF47" i="9"/>
  <c r="AB56" i="5"/>
  <c r="AB51" i="5"/>
  <c r="AB52" i="5" s="1"/>
  <c r="AC54" i="5"/>
  <c r="AC50" i="5"/>
  <c r="AC49" i="5"/>
  <c r="AD46" i="5"/>
  <c r="AF55" i="9" l="1"/>
  <c r="AF54" i="9"/>
  <c r="AF56" i="9" s="1"/>
  <c r="AF51" i="9"/>
  <c r="AF52" i="9"/>
  <c r="AG47" i="9"/>
  <c r="AE53" i="9"/>
  <c r="AC56" i="5"/>
  <c r="AC51" i="5"/>
  <c r="AC52" i="5" s="1"/>
  <c r="AD54" i="5"/>
  <c r="AD50" i="5"/>
  <c r="AD49" i="5"/>
  <c r="AE46" i="5"/>
  <c r="AG54" i="9" l="1"/>
  <c r="AG56" i="9" s="1"/>
  <c r="AG55" i="9"/>
  <c r="AG52" i="9"/>
  <c r="AG51" i="9"/>
  <c r="AH47" i="9"/>
  <c r="AF53" i="9"/>
  <c r="AE54" i="5"/>
  <c r="AE50" i="5"/>
  <c r="AE49" i="5"/>
  <c r="AD56" i="5"/>
  <c r="AD51" i="5"/>
  <c r="AD52" i="5" s="1"/>
  <c r="AF46" i="5"/>
  <c r="AH54" i="9" l="1"/>
  <c r="AH56" i="9" s="1"/>
  <c r="AH55" i="9"/>
  <c r="AH52" i="9"/>
  <c r="AH51" i="9"/>
  <c r="AG53" i="9"/>
  <c r="AI47" i="9"/>
  <c r="AE56" i="5"/>
  <c r="AE51" i="5"/>
  <c r="AE52" i="5" s="1"/>
  <c r="AF54" i="5"/>
  <c r="AF49" i="5"/>
  <c r="AF50" i="5"/>
  <c r="AG46" i="5"/>
  <c r="AI54" i="9" l="1"/>
  <c r="AI56" i="9" s="1"/>
  <c r="AI55" i="9"/>
  <c r="AI51" i="9"/>
  <c r="AI52" i="9"/>
  <c r="AJ47" i="9"/>
  <c r="AH53" i="9"/>
  <c r="AG54" i="5"/>
  <c r="AG50" i="5"/>
  <c r="AG49" i="5"/>
  <c r="AF56" i="5"/>
  <c r="AF51" i="5"/>
  <c r="AF52" i="5" s="1"/>
  <c r="AH46" i="5"/>
  <c r="AJ55" i="9" l="1"/>
  <c r="AJ54" i="9"/>
  <c r="AJ56" i="9" s="1"/>
  <c r="AJ51" i="9"/>
  <c r="AJ52" i="9"/>
  <c r="AI53" i="9"/>
  <c r="AK47" i="9"/>
  <c r="AH54" i="5"/>
  <c r="AH50" i="5"/>
  <c r="AH49" i="5"/>
  <c r="AG56" i="5"/>
  <c r="AG51" i="5"/>
  <c r="C39" i="5" s="1"/>
  <c r="AI46" i="5"/>
  <c r="AK55" i="9" l="1"/>
  <c r="AK54" i="9"/>
  <c r="AK56" i="9" s="1"/>
  <c r="AK51" i="9"/>
  <c r="AK52" i="9"/>
  <c r="AJ53" i="9"/>
  <c r="AL47" i="9"/>
  <c r="AI54" i="5"/>
  <c r="AI49" i="5"/>
  <c r="AI50" i="5"/>
  <c r="AH56" i="5"/>
  <c r="AH51" i="5"/>
  <c r="AH52" i="5" s="1"/>
  <c r="AG52" i="5"/>
  <c r="C38" i="5"/>
  <c r="C37" i="5"/>
  <c r="AL54" i="9" l="1"/>
  <c r="AL56" i="9" s="1"/>
  <c r="AL55" i="9"/>
  <c r="AL51" i="9"/>
  <c r="AL52" i="9"/>
  <c r="AK53" i="9"/>
  <c r="AM47" i="9"/>
  <c r="AI56" i="5"/>
  <c r="AI51" i="5"/>
  <c r="AI52" i="5" s="1"/>
  <c r="AM55" i="9" l="1"/>
  <c r="AM54" i="9"/>
  <c r="AM56" i="9" s="1"/>
  <c r="AM52" i="9"/>
  <c r="AM51" i="9"/>
  <c r="AL53" i="9"/>
  <c r="AN47" i="9"/>
  <c r="AN55" i="9" l="1"/>
  <c r="AN54" i="9"/>
  <c r="AN56" i="9" s="1"/>
  <c r="AN52" i="9"/>
  <c r="AN51" i="9"/>
  <c r="AO47" i="9"/>
  <c r="AM53" i="9"/>
  <c r="AO55" i="9" l="1"/>
  <c r="AO54" i="9"/>
  <c r="AO56" i="9" s="1"/>
  <c r="AO51" i="9"/>
  <c r="AO52" i="9"/>
  <c r="AP47" i="9"/>
  <c r="AN53" i="9"/>
  <c r="AP55" i="9" l="1"/>
  <c r="AP54" i="9"/>
  <c r="AP56" i="9" s="1"/>
  <c r="AP52" i="9"/>
  <c r="AP51" i="9"/>
  <c r="AQ47" i="9"/>
  <c r="AO53" i="9"/>
  <c r="AQ54" i="9" l="1"/>
  <c r="AQ56" i="9" s="1"/>
  <c r="AQ55" i="9"/>
  <c r="AQ52" i="9"/>
  <c r="AQ51" i="9"/>
  <c r="AP53" i="9"/>
  <c r="AR47" i="9"/>
  <c r="H9" i="34"/>
  <c r="AR54" i="9" l="1"/>
  <c r="AR56" i="9" s="1"/>
  <c r="C34" i="9" s="1"/>
  <c r="AR55" i="9"/>
  <c r="AS47" i="9"/>
  <c r="AR51" i="9"/>
  <c r="AR52" i="9"/>
  <c r="AQ53" i="9"/>
  <c r="H17" i="34"/>
  <c r="AS51" i="9" l="1"/>
  <c r="AS54" i="9"/>
  <c r="AS56" i="9" s="1"/>
  <c r="AS52" i="9"/>
  <c r="AT47" i="9"/>
  <c r="AS55" i="9"/>
  <c r="AR53" i="9"/>
  <c r="AU47" i="9" l="1"/>
  <c r="AT51" i="9"/>
  <c r="AT55" i="9"/>
  <c r="AT54" i="9"/>
  <c r="AT56" i="9" s="1"/>
  <c r="AT52" i="9"/>
  <c r="AS53" i="9"/>
  <c r="AT53" i="9" l="1"/>
  <c r="AU52" i="9"/>
  <c r="AU51" i="9"/>
  <c r="AU55" i="9"/>
  <c r="AV47" i="9"/>
  <c r="AU54" i="9"/>
  <c r="AU56" i="9" s="1"/>
  <c r="AU53" i="9" l="1"/>
  <c r="AV52" i="9"/>
  <c r="AV55" i="9"/>
  <c r="AV54" i="9"/>
  <c r="AV56" i="9" s="1"/>
  <c r="AV51" i="9"/>
  <c r="AV53" i="9" s="1"/>
  <c r="C36" i="9" l="1"/>
  <c r="C68" i="26"/>
  <c r="C40" i="26" s="1"/>
  <c r="J17" i="34"/>
  <c r="I17" i="34"/>
  <c r="C55" i="26" l="1"/>
  <c r="C56" i="26" s="1"/>
  <c r="C41" i="26" s="1"/>
  <c r="I9" i="34"/>
  <c r="C37" i="26" l="1"/>
  <c r="D297" i="4"/>
  <c r="F297" i="4"/>
  <c r="E50" i="33"/>
  <c r="G297" i="4"/>
  <c r="F50" i="33"/>
  <c r="C300" i="4"/>
  <c r="F300" i="4" s="1"/>
  <c r="E297" i="4"/>
  <c r="D50" i="33"/>
  <c r="D53" i="33" s="1"/>
  <c r="D46" i="33" s="1"/>
  <c r="C297" i="4"/>
  <c r="I50" i="33"/>
  <c r="J297" i="4"/>
  <c r="M297" i="4"/>
  <c r="L50" i="33"/>
  <c r="W50" i="33"/>
  <c r="W51" i="33" s="1"/>
  <c r="T297" i="4"/>
  <c r="AI297" i="4"/>
  <c r="AJ50" i="33"/>
  <c r="V50" i="33"/>
  <c r="AC297" i="4"/>
  <c r="AB50" i="33"/>
  <c r="AB54" i="33" s="1"/>
  <c r="F30" i="33" s="1"/>
  <c r="T50" i="33"/>
  <c r="U297" i="4"/>
  <c r="AF50" i="33"/>
  <c r="AE297" i="4"/>
  <c r="X297" i="4"/>
  <c r="AA50" i="33"/>
  <c r="AA51" i="33" s="1"/>
  <c r="AC50" i="33"/>
  <c r="AC51" i="33" s="1"/>
  <c r="S50" i="33"/>
  <c r="S51" i="33" s="1"/>
  <c r="Z50" i="33"/>
  <c r="AE50" i="33"/>
  <c r="X50" i="33"/>
  <c r="U50" i="33"/>
  <c r="U53" i="33" s="1"/>
  <c r="U46" i="33" s="1"/>
  <c r="AK297" i="4"/>
  <c r="AT297" i="4"/>
  <c r="AK50" i="33"/>
  <c r="AP50" i="33"/>
  <c r="AD50" i="33"/>
  <c r="AD51" i="33" s="1"/>
  <c r="AI50" i="33"/>
  <c r="AH50" i="33"/>
  <c r="Y50" i="33"/>
  <c r="AA297" i="4"/>
  <c r="AG50" i="33"/>
  <c r="AD297" i="4"/>
  <c r="AP297" i="4"/>
  <c r="AV50" i="33"/>
  <c r="AV51" i="33" s="1"/>
  <c r="AS50" i="33"/>
  <c r="AS54" i="33" s="1"/>
  <c r="AO50" i="33"/>
  <c r="AQ297" i="4"/>
  <c r="AW297" i="4"/>
  <c r="AL297" i="4"/>
  <c r="W297" i="4"/>
  <c r="V297" i="4"/>
  <c r="AG297" i="4"/>
  <c r="AB297" i="4"/>
  <c r="Z297" i="4"/>
  <c r="Y297" i="4"/>
  <c r="AH297" i="4"/>
  <c r="AJ297" i="4"/>
  <c r="AF297" i="4"/>
  <c r="J9" i="34"/>
  <c r="X29" i="34"/>
  <c r="F9" i="34"/>
  <c r="W45" i="33" l="1"/>
  <c r="W52" i="33"/>
  <c r="AC53" i="33"/>
  <c r="AC46" i="33" s="1"/>
  <c r="AC54" i="33"/>
  <c r="AS53" i="33"/>
  <c r="AS46" i="33" s="1"/>
  <c r="AS51" i="33"/>
  <c r="AS52" i="33" s="1"/>
  <c r="AV45" i="33"/>
  <c r="AV52" i="33"/>
  <c r="S52" i="33"/>
  <c r="S45" i="33"/>
  <c r="AV53" i="33"/>
  <c r="AV46" i="33" s="1"/>
  <c r="AV54" i="33"/>
  <c r="W53" i="33"/>
  <c r="W46" i="33" s="1"/>
  <c r="W47" i="33" s="1"/>
  <c r="W48" i="33" s="1"/>
  <c r="W54" i="33"/>
  <c r="F29" i="33" s="1"/>
  <c r="E300" i="4"/>
  <c r="E304" i="4" s="1"/>
  <c r="E307" i="4" s="1"/>
  <c r="D300" i="4"/>
  <c r="C304" i="4"/>
  <c r="C307" i="4" s="1"/>
  <c r="T300" i="4"/>
  <c r="T304" i="4" s="1"/>
  <c r="T307" i="4" s="1"/>
  <c r="G50" i="33"/>
  <c r="G54" i="33" s="1"/>
  <c r="H297" i="4"/>
  <c r="O297" i="4"/>
  <c r="N50" i="33"/>
  <c r="N53" i="33" s="1"/>
  <c r="N46" i="33" s="1"/>
  <c r="AA45" i="33"/>
  <c r="AA52" i="33"/>
  <c r="AE51" i="33"/>
  <c r="AE53" i="33"/>
  <c r="AE46" i="33" s="1"/>
  <c r="AE54" i="33"/>
  <c r="X53" i="33"/>
  <c r="X46" i="33" s="1"/>
  <c r="X51" i="33"/>
  <c r="X54" i="33"/>
  <c r="AK53" i="33"/>
  <c r="AK46" i="33" s="1"/>
  <c r="AK54" i="33"/>
  <c r="AK51" i="33"/>
  <c r="AP53" i="33"/>
  <c r="AP46" i="33" s="1"/>
  <c r="AP54" i="33"/>
  <c r="AP51" i="33"/>
  <c r="AD52" i="33"/>
  <c r="AD45" i="33"/>
  <c r="AI53" i="33"/>
  <c r="AI46" i="33" s="1"/>
  <c r="AI54" i="33"/>
  <c r="AI51" i="33"/>
  <c r="AI52" i="33" s="1"/>
  <c r="AS45" i="33"/>
  <c r="E51" i="33"/>
  <c r="E54" i="33"/>
  <c r="E53" i="33"/>
  <c r="E46" i="33" s="1"/>
  <c r="F53" i="33"/>
  <c r="F46" i="33" s="1"/>
  <c r="F51" i="33"/>
  <c r="F54" i="33"/>
  <c r="AP300" i="4"/>
  <c r="AU300" i="4"/>
  <c r="AE300" i="4"/>
  <c r="AL300" i="4"/>
  <c r="G300" i="4"/>
  <c r="U300" i="4"/>
  <c r="J300" i="4"/>
  <c r="I300" i="4"/>
  <c r="AF300" i="4"/>
  <c r="AA300" i="4"/>
  <c r="AN300" i="4"/>
  <c r="W300" i="4"/>
  <c r="S300" i="4"/>
  <c r="AT300" i="4"/>
  <c r="AI300" i="4"/>
  <c r="Q300" i="4"/>
  <c r="AQ300" i="4"/>
  <c r="P300" i="4"/>
  <c r="AB300" i="4"/>
  <c r="K300" i="4"/>
  <c r="AO300" i="4"/>
  <c r="AC300" i="4"/>
  <c r="AH298" i="4" s="1"/>
  <c r="AH300" i="4"/>
  <c r="AV300" i="4"/>
  <c r="AK300" i="4"/>
  <c r="O300" i="4"/>
  <c r="AW300" i="4"/>
  <c r="L300" i="4"/>
  <c r="Z300" i="4"/>
  <c r="H300" i="4"/>
  <c r="AR300" i="4"/>
  <c r="R300" i="4"/>
  <c r="X300" i="4"/>
  <c r="AS300" i="4"/>
  <c r="M300" i="4"/>
  <c r="V300" i="4"/>
  <c r="AG300" i="4"/>
  <c r="AM300" i="4"/>
  <c r="Y300" i="4"/>
  <c r="AJ300" i="4"/>
  <c r="AD300" i="4"/>
  <c r="N300" i="4"/>
  <c r="D51" i="33"/>
  <c r="D54" i="33"/>
  <c r="I297" i="4"/>
  <c r="H50" i="33"/>
  <c r="I51" i="33"/>
  <c r="I54" i="33"/>
  <c r="I53" i="33"/>
  <c r="I46" i="33" s="1"/>
  <c r="K297" i="4"/>
  <c r="J50" i="33"/>
  <c r="K50" i="33"/>
  <c r="L297" i="4"/>
  <c r="L54" i="33"/>
  <c r="L53" i="33"/>
  <c r="L46" i="33" s="1"/>
  <c r="L51" i="33"/>
  <c r="N297" i="4"/>
  <c r="M50" i="33"/>
  <c r="S297" i="4"/>
  <c r="R50" i="33"/>
  <c r="AO297" i="4"/>
  <c r="AN50" i="33"/>
  <c r="AT50" i="33"/>
  <c r="AU297" i="4"/>
  <c r="AJ53" i="33"/>
  <c r="AJ46" i="33" s="1"/>
  <c r="AJ54" i="33"/>
  <c r="AJ51" i="33"/>
  <c r="V53" i="33"/>
  <c r="V46" i="33" s="1"/>
  <c r="V54" i="33"/>
  <c r="V51" i="33"/>
  <c r="AB51" i="33"/>
  <c r="AB53" i="33"/>
  <c r="AB46" i="33" s="1"/>
  <c r="F43" i="34"/>
  <c r="X31" i="34"/>
  <c r="T54" i="33"/>
  <c r="T51" i="33"/>
  <c r="T53" i="33"/>
  <c r="T46" i="33" s="1"/>
  <c r="AF54" i="33"/>
  <c r="AF53" i="33"/>
  <c r="AF46" i="33" s="1"/>
  <c r="AF51" i="33"/>
  <c r="AA54" i="33"/>
  <c r="AA53" i="33"/>
  <c r="AA46" i="33" s="1"/>
  <c r="AC52" i="33"/>
  <c r="AC45" i="33"/>
  <c r="S54" i="33"/>
  <c r="S53" i="33"/>
  <c r="S46" i="33" s="1"/>
  <c r="AM50" i="33"/>
  <c r="AN297" i="4"/>
  <c r="O50" i="33"/>
  <c r="P297" i="4"/>
  <c r="P50" i="33"/>
  <c r="Q297" i="4"/>
  <c r="AM297" i="4"/>
  <c r="AL50" i="33"/>
  <c r="AR50" i="33"/>
  <c r="AS297" i="4"/>
  <c r="AR297" i="4"/>
  <c r="AQ50" i="33"/>
  <c r="Z51" i="33"/>
  <c r="Z53" i="33"/>
  <c r="Z46" i="33" s="1"/>
  <c r="Z54" i="33"/>
  <c r="AU50" i="33"/>
  <c r="AV297" i="4"/>
  <c r="U54" i="33"/>
  <c r="U51" i="33"/>
  <c r="R297" i="4"/>
  <c r="Q50" i="33"/>
  <c r="AD54" i="33"/>
  <c r="AD53" i="33"/>
  <c r="AD46" i="33" s="1"/>
  <c r="AH54" i="33"/>
  <c r="AH53" i="33"/>
  <c r="AH46" i="33" s="1"/>
  <c r="AH51" i="33"/>
  <c r="Y54" i="33"/>
  <c r="Y53" i="33"/>
  <c r="Y46" i="33" s="1"/>
  <c r="Y51" i="33"/>
  <c r="AG53" i="33"/>
  <c r="AG46" i="33" s="1"/>
  <c r="AG54" i="33"/>
  <c r="AG51" i="33"/>
  <c r="AO54" i="33"/>
  <c r="AO51" i="33"/>
  <c r="AO53" i="33"/>
  <c r="AO46" i="33" s="1"/>
  <c r="W29" i="34"/>
  <c r="AS47" i="33" l="1"/>
  <c r="AS48" i="33" s="1"/>
  <c r="N54" i="33"/>
  <c r="N51" i="33"/>
  <c r="N45" i="33" s="1"/>
  <c r="G53" i="33"/>
  <c r="G46" i="33" s="1"/>
  <c r="G51" i="33"/>
  <c r="G45" i="33" s="1"/>
  <c r="AI45" i="33"/>
  <c r="AI47" i="33" s="1"/>
  <c r="AI48" i="33" s="1"/>
  <c r="W31" i="34"/>
  <c r="AV47" i="33"/>
  <c r="AV48" i="33" s="1"/>
  <c r="D304" i="4"/>
  <c r="D307" i="4" s="1"/>
  <c r="C310" i="4"/>
  <c r="C309" i="4"/>
  <c r="C308" i="4"/>
  <c r="AE45" i="33"/>
  <c r="AE47" i="33" s="1"/>
  <c r="AE48" i="33" s="1"/>
  <c r="AE52" i="33"/>
  <c r="X52" i="33"/>
  <c r="X45" i="33"/>
  <c r="X47" i="33" s="1"/>
  <c r="X48" i="33" s="1"/>
  <c r="AK45" i="33"/>
  <c r="AK52" i="33"/>
  <c r="AP52" i="33"/>
  <c r="AP45" i="33"/>
  <c r="AP47" i="33" s="1"/>
  <c r="AP48" i="33" s="1"/>
  <c r="E52" i="33"/>
  <c r="E45" i="33"/>
  <c r="F52" i="33"/>
  <c r="F45" i="33"/>
  <c r="AP304" i="4"/>
  <c r="AP307" i="4" s="1"/>
  <c r="AU304" i="4"/>
  <c r="AU307" i="4" s="1"/>
  <c r="AE304" i="4"/>
  <c r="AE307" i="4" s="1"/>
  <c r="AL304" i="4"/>
  <c r="AL307" i="4" s="1"/>
  <c r="G304" i="4"/>
  <c r="G307" i="4" s="1"/>
  <c r="U304" i="4"/>
  <c r="U307" i="4" s="1"/>
  <c r="J304" i="4"/>
  <c r="J307" i="4" s="1"/>
  <c r="I304" i="4"/>
  <c r="I307" i="4" s="1"/>
  <c r="AF304" i="4"/>
  <c r="AF307" i="4" s="1"/>
  <c r="AA304" i="4"/>
  <c r="AA307" i="4" s="1"/>
  <c r="AN304" i="4"/>
  <c r="AN307" i="4" s="1"/>
  <c r="W304" i="4"/>
  <c r="W307" i="4" s="1"/>
  <c r="S304" i="4"/>
  <c r="S307" i="4" s="1"/>
  <c r="AT304" i="4"/>
  <c r="AT307" i="4" s="1"/>
  <c r="AI304" i="4"/>
  <c r="AI307" i="4" s="1"/>
  <c r="F304" i="4"/>
  <c r="F307" i="4" s="1"/>
  <c r="Q304" i="4"/>
  <c r="Q307" i="4" s="1"/>
  <c r="AQ304" i="4"/>
  <c r="AQ307" i="4" s="1"/>
  <c r="P304" i="4"/>
  <c r="P307" i="4" s="1"/>
  <c r="AB304" i="4"/>
  <c r="AB307" i="4" s="1"/>
  <c r="K304" i="4"/>
  <c r="K307" i="4" s="1"/>
  <c r="AO304" i="4"/>
  <c r="AO307" i="4" s="1"/>
  <c r="AC304" i="4"/>
  <c r="AC307" i="4" s="1"/>
  <c r="D285" i="4" s="1"/>
  <c r="AH304" i="4"/>
  <c r="AH307" i="4" s="1"/>
  <c r="AV304" i="4"/>
  <c r="AV307" i="4" s="1"/>
  <c r="AK304" i="4"/>
  <c r="AK307" i="4" s="1"/>
  <c r="O304" i="4"/>
  <c r="O307" i="4" s="1"/>
  <c r="AW304" i="4"/>
  <c r="AW307" i="4" s="1"/>
  <c r="L304" i="4"/>
  <c r="L307" i="4" s="1"/>
  <c r="Z304" i="4"/>
  <c r="Z307" i="4" s="1"/>
  <c r="H304" i="4"/>
  <c r="H307" i="4" s="1"/>
  <c r="AR304" i="4"/>
  <c r="AR307" i="4" s="1"/>
  <c r="R304" i="4"/>
  <c r="R307" i="4" s="1"/>
  <c r="X304" i="4"/>
  <c r="X307" i="4" s="1"/>
  <c r="AS304" i="4"/>
  <c r="AS307" i="4" s="1"/>
  <c r="M304" i="4"/>
  <c r="M307" i="4" s="1"/>
  <c r="V304" i="4"/>
  <c r="V307" i="4" s="1"/>
  <c r="AG304" i="4"/>
  <c r="AG307" i="4" s="1"/>
  <c r="AM304" i="4"/>
  <c r="AM307" i="4" s="1"/>
  <c r="Y304" i="4"/>
  <c r="Y307" i="4" s="1"/>
  <c r="AJ304" i="4"/>
  <c r="AJ307" i="4" s="1"/>
  <c r="AD304" i="4"/>
  <c r="AD307" i="4" s="1"/>
  <c r="N304" i="4"/>
  <c r="N307" i="4" s="1"/>
  <c r="D52" i="33"/>
  <c r="D45" i="33"/>
  <c r="E308" i="4"/>
  <c r="E309" i="4"/>
  <c r="E310" i="4"/>
  <c r="H51" i="33"/>
  <c r="H54" i="33"/>
  <c r="F26" i="33" s="1"/>
  <c r="H53" i="33"/>
  <c r="H46" i="33" s="1"/>
  <c r="I45" i="33"/>
  <c r="I52" i="33"/>
  <c r="J54" i="33"/>
  <c r="J51" i="33"/>
  <c r="J53" i="33"/>
  <c r="J46" i="33" s="1"/>
  <c r="K51" i="33"/>
  <c r="K53" i="33"/>
  <c r="K46" i="33" s="1"/>
  <c r="K54" i="33"/>
  <c r="L45" i="33"/>
  <c r="L52" i="33"/>
  <c r="M53" i="33"/>
  <c r="M46" i="33" s="1"/>
  <c r="M51" i="33"/>
  <c r="M54" i="33"/>
  <c r="F27" i="33" s="1"/>
  <c r="R53" i="33"/>
  <c r="R46" i="33" s="1"/>
  <c r="R51" i="33"/>
  <c r="R54" i="33"/>
  <c r="F28" i="33" s="1"/>
  <c r="AN54" i="33"/>
  <c r="AN53" i="33"/>
  <c r="AN46" i="33" s="1"/>
  <c r="AN51" i="33"/>
  <c r="AT54" i="33"/>
  <c r="AT53" i="33"/>
  <c r="AT46" i="33" s="1"/>
  <c r="AT51" i="33"/>
  <c r="AJ45" i="33"/>
  <c r="AJ52" i="33"/>
  <c r="V52" i="33"/>
  <c r="V45" i="33"/>
  <c r="AB52" i="33"/>
  <c r="AB45" i="33"/>
  <c r="G43" i="34"/>
  <c r="F44" i="34"/>
  <c r="G44" i="34" s="1"/>
  <c r="T45" i="33"/>
  <c r="T52" i="33"/>
  <c r="N52" i="33"/>
  <c r="AF52" i="33"/>
  <c r="AF45" i="33"/>
  <c r="AA47" i="33"/>
  <c r="AA48" i="33" s="1"/>
  <c r="AC47" i="33"/>
  <c r="AC48" i="33" s="1"/>
  <c r="S47" i="33"/>
  <c r="S48" i="33" s="1"/>
  <c r="AM53" i="33"/>
  <c r="AM46" i="33" s="1"/>
  <c r="AM51" i="33"/>
  <c r="AM54" i="33"/>
  <c r="O54" i="33"/>
  <c r="O51" i="33"/>
  <c r="O53" i="33"/>
  <c r="O46" i="33" s="1"/>
  <c r="P54" i="33"/>
  <c r="P53" i="33"/>
  <c r="P46" i="33" s="1"/>
  <c r="P51" i="33"/>
  <c r="AL51" i="33"/>
  <c r="AL54" i="33"/>
  <c r="AL53" i="33"/>
  <c r="AL46" i="33" s="1"/>
  <c r="AR54" i="33"/>
  <c r="AR53" i="33"/>
  <c r="AR46" i="33" s="1"/>
  <c r="AR51" i="33"/>
  <c r="AQ54" i="33"/>
  <c r="AQ53" i="33"/>
  <c r="AQ46" i="33" s="1"/>
  <c r="AQ51" i="33"/>
  <c r="Z45" i="33"/>
  <c r="Z52" i="33"/>
  <c r="AU54" i="33"/>
  <c r="AU51" i="33"/>
  <c r="AU53" i="33"/>
  <c r="AU46" i="33" s="1"/>
  <c r="T310" i="4"/>
  <c r="T309" i="4"/>
  <c r="T308" i="4"/>
  <c r="U52" i="33"/>
  <c r="U45" i="33"/>
  <c r="Q51" i="33"/>
  <c r="Q54" i="33"/>
  <c r="Q53" i="33"/>
  <c r="Q46" i="33" s="1"/>
  <c r="AD47" i="33"/>
  <c r="AD48" i="33" s="1"/>
  <c r="AH52" i="33"/>
  <c r="AH45" i="33"/>
  <c r="Y52" i="33"/>
  <c r="Y45" i="33"/>
  <c r="AG52" i="33"/>
  <c r="AG45" i="33"/>
  <c r="AO52" i="33"/>
  <c r="AO45" i="33"/>
  <c r="U29" i="34"/>
  <c r="V29" i="34"/>
  <c r="G52" i="33" l="1"/>
  <c r="D310" i="4"/>
  <c r="D309" i="4"/>
  <c r="D308" i="4"/>
  <c r="AK47" i="33"/>
  <c r="AK48" i="33" s="1"/>
  <c r="E47" i="33"/>
  <c r="E48" i="33" s="1"/>
  <c r="F47" i="33"/>
  <c r="F48" i="33" s="1"/>
  <c r="AP308" i="4"/>
  <c r="AP309" i="4"/>
  <c r="AP310" i="4"/>
  <c r="AU310" i="4"/>
  <c r="AU308" i="4"/>
  <c r="AU309" i="4"/>
  <c r="AE310" i="4"/>
  <c r="AE309" i="4"/>
  <c r="AE308" i="4"/>
  <c r="AL310" i="4"/>
  <c r="AL308" i="4"/>
  <c r="AL309" i="4"/>
  <c r="G309" i="4"/>
  <c r="G308" i="4"/>
  <c r="G310" i="4"/>
  <c r="U309" i="4"/>
  <c r="U308" i="4"/>
  <c r="U310" i="4"/>
  <c r="J309" i="4"/>
  <c r="J308" i="4"/>
  <c r="J310" i="4"/>
  <c r="I308" i="4"/>
  <c r="I310" i="4"/>
  <c r="I309" i="4"/>
  <c r="AF309" i="4"/>
  <c r="AF310" i="4"/>
  <c r="AF308" i="4"/>
  <c r="AA310" i="4"/>
  <c r="AA309" i="4"/>
  <c r="AA308" i="4"/>
  <c r="AN308" i="4"/>
  <c r="AN309" i="4"/>
  <c r="AN310" i="4"/>
  <c r="W310" i="4"/>
  <c r="W309" i="4"/>
  <c r="W308" i="4"/>
  <c r="S309" i="4"/>
  <c r="S310" i="4"/>
  <c r="S308" i="4"/>
  <c r="AT310" i="4"/>
  <c r="AT308" i="4"/>
  <c r="AT309" i="4"/>
  <c r="AI309" i="4"/>
  <c r="AI308" i="4"/>
  <c r="AI310" i="4"/>
  <c r="F309" i="4"/>
  <c r="F308" i="4"/>
  <c r="F310" i="4"/>
  <c r="Q308" i="4"/>
  <c r="Q309" i="4"/>
  <c r="Q310" i="4"/>
  <c r="AQ308" i="4"/>
  <c r="AQ309" i="4"/>
  <c r="AQ310" i="4"/>
  <c r="P309" i="4"/>
  <c r="P308" i="4"/>
  <c r="P310" i="4"/>
  <c r="AB309" i="4"/>
  <c r="AB308" i="4"/>
  <c r="AB310" i="4"/>
  <c r="K308" i="4"/>
  <c r="K310" i="4"/>
  <c r="K309" i="4"/>
  <c r="AO309" i="4"/>
  <c r="AO308" i="4"/>
  <c r="AO310" i="4"/>
  <c r="AC308" i="4"/>
  <c r="D286" i="4" s="1"/>
  <c r="AC310" i="4"/>
  <c r="D288" i="4" s="1"/>
  <c r="AC309" i="4"/>
  <c r="D287" i="4" s="1"/>
  <c r="AH310" i="4"/>
  <c r="AH308" i="4"/>
  <c r="AH309" i="4"/>
  <c r="AV310" i="4"/>
  <c r="AV308" i="4"/>
  <c r="AV309" i="4"/>
  <c r="AK308" i="4"/>
  <c r="AK309" i="4"/>
  <c r="AK310" i="4"/>
  <c r="O308" i="4"/>
  <c r="O309" i="4"/>
  <c r="O310" i="4"/>
  <c r="AW310" i="4"/>
  <c r="AW308" i="4"/>
  <c r="AW309" i="4"/>
  <c r="L309" i="4"/>
  <c r="L310" i="4"/>
  <c r="L308" i="4"/>
  <c r="Z310" i="4"/>
  <c r="Z309" i="4"/>
  <c r="Z308" i="4"/>
  <c r="H308" i="4"/>
  <c r="H310" i="4"/>
  <c r="H309" i="4"/>
  <c r="AR308" i="4"/>
  <c r="AR309" i="4"/>
  <c r="AR310" i="4"/>
  <c r="R310" i="4"/>
  <c r="R309" i="4"/>
  <c r="R308" i="4"/>
  <c r="X310" i="4"/>
  <c r="X309" i="4"/>
  <c r="X308" i="4"/>
  <c r="AS310" i="4"/>
  <c r="AS308" i="4"/>
  <c r="AS309" i="4"/>
  <c r="M308" i="4"/>
  <c r="M309" i="4"/>
  <c r="M310" i="4"/>
  <c r="V308" i="4"/>
  <c r="V309" i="4"/>
  <c r="V310" i="4"/>
  <c r="AG308" i="4"/>
  <c r="AG309" i="4"/>
  <c r="AG310" i="4"/>
  <c r="AM309" i="4"/>
  <c r="AM310" i="4"/>
  <c r="AM308" i="4"/>
  <c r="Y309" i="4"/>
  <c r="Y308" i="4"/>
  <c r="Y310" i="4"/>
  <c r="AJ310" i="4"/>
  <c r="AJ309" i="4"/>
  <c r="AJ308" i="4"/>
  <c r="AD310" i="4"/>
  <c r="AD309" i="4"/>
  <c r="AD308" i="4"/>
  <c r="N309" i="4"/>
  <c r="N310" i="4"/>
  <c r="N308" i="4"/>
  <c r="D47" i="33"/>
  <c r="D48" i="33" s="1"/>
  <c r="G47" i="33"/>
  <c r="G48" i="33" s="1"/>
  <c r="H52" i="33"/>
  <c r="H45" i="33"/>
  <c r="C30" i="33"/>
  <c r="I47" i="33"/>
  <c r="I48" i="33" s="1"/>
  <c r="J45" i="33"/>
  <c r="J52" i="33"/>
  <c r="K52" i="33"/>
  <c r="K45" i="33"/>
  <c r="L47" i="33"/>
  <c r="L48" i="33" s="1"/>
  <c r="M52" i="33"/>
  <c r="M45" i="33"/>
  <c r="U31" i="34"/>
  <c r="R45" i="33"/>
  <c r="R52" i="33"/>
  <c r="V31" i="34"/>
  <c r="AN52" i="33"/>
  <c r="AN45" i="33"/>
  <c r="AT45" i="33"/>
  <c r="AT52" i="33"/>
  <c r="AJ47" i="33"/>
  <c r="AJ48" i="33" s="1"/>
  <c r="V47" i="33"/>
  <c r="V48" i="33" s="1"/>
  <c r="AB47" i="33"/>
  <c r="AB48" i="33" s="1"/>
  <c r="T47" i="33"/>
  <c r="T48" i="33" s="1"/>
  <c r="N47" i="33"/>
  <c r="N48" i="33" s="1"/>
  <c r="AF47" i="33"/>
  <c r="AF48" i="33" s="1"/>
  <c r="AM45" i="33"/>
  <c r="AM52" i="33"/>
  <c r="O52" i="33"/>
  <c r="O45" i="33"/>
  <c r="P45" i="33"/>
  <c r="P52" i="33"/>
  <c r="AL45" i="33"/>
  <c r="AL52" i="33"/>
  <c r="AR52" i="33"/>
  <c r="AR45" i="33"/>
  <c r="AQ45" i="33"/>
  <c r="AQ52" i="33"/>
  <c r="Z47" i="33"/>
  <c r="Z48" i="33" s="1"/>
  <c r="AU52" i="33"/>
  <c r="AU45" i="33"/>
  <c r="U47" i="33"/>
  <c r="U48" i="33" s="1"/>
  <c r="Q45" i="33"/>
  <c r="Q52" i="33"/>
  <c r="AH47" i="33"/>
  <c r="AH48" i="33" s="1"/>
  <c r="Y47" i="33"/>
  <c r="Y48" i="33" s="1"/>
  <c r="AG47" i="33"/>
  <c r="AG48" i="33" s="1"/>
  <c r="AO47" i="33"/>
  <c r="AO48" i="33" s="1"/>
  <c r="T29" i="34"/>
  <c r="H29" i="34"/>
  <c r="M29" i="34" l="1"/>
  <c r="M9" i="34"/>
  <c r="M12" i="34"/>
  <c r="M23" i="34"/>
  <c r="M10" i="34"/>
  <c r="M25" i="34"/>
  <c r="M4" i="34"/>
  <c r="M30" i="34"/>
  <c r="M21" i="34"/>
  <c r="M6" i="34"/>
  <c r="M13" i="34"/>
  <c r="M17" i="34"/>
  <c r="M20" i="34"/>
  <c r="M8" i="34"/>
  <c r="M18" i="34"/>
  <c r="M22" i="34"/>
  <c r="M11" i="34"/>
  <c r="M19" i="34"/>
  <c r="M28" i="34"/>
  <c r="M16" i="34"/>
  <c r="M26" i="34"/>
  <c r="M5" i="34"/>
  <c r="M24" i="34"/>
  <c r="M15" i="34"/>
  <c r="M7" i="34"/>
  <c r="H31" i="34"/>
  <c r="H47" i="33"/>
  <c r="H48" i="33" s="1"/>
  <c r="T31" i="34"/>
  <c r="J47" i="33"/>
  <c r="J48" i="33" s="1"/>
  <c r="K47" i="33"/>
  <c r="K48" i="33" s="1"/>
  <c r="M47" i="33"/>
  <c r="M48" i="33" s="1"/>
  <c r="R47" i="33"/>
  <c r="R48" i="33" s="1"/>
  <c r="AN47" i="33"/>
  <c r="AN48" i="33" s="1"/>
  <c r="AT47" i="33"/>
  <c r="AT48" i="33" s="1"/>
  <c r="AM47" i="33"/>
  <c r="AM48" i="33" s="1"/>
  <c r="O47" i="33"/>
  <c r="O48" i="33" s="1"/>
  <c r="P47" i="33"/>
  <c r="P48" i="33" s="1"/>
  <c r="AL47" i="33"/>
  <c r="AL48" i="33" s="1"/>
  <c r="AR47" i="33"/>
  <c r="AR48" i="33" s="1"/>
  <c r="AQ47" i="33"/>
  <c r="AQ48" i="33" s="1"/>
  <c r="AU47" i="33"/>
  <c r="AU48" i="33" s="1"/>
  <c r="Q47" i="33"/>
  <c r="Q48" i="33" s="1"/>
  <c r="P26" i="34" l="1"/>
  <c r="P30" i="34"/>
  <c r="P24" i="34"/>
  <c r="P4" i="34"/>
  <c r="P25" i="34"/>
  <c r="P6" i="34"/>
  <c r="P11" i="34"/>
  <c r="P10" i="34"/>
  <c r="P15" i="34"/>
  <c r="P16" i="34"/>
  <c r="P23" i="34"/>
  <c r="P13" i="34"/>
  <c r="P28" i="34"/>
  <c r="P18" i="34"/>
  <c r="P12" i="34"/>
  <c r="P17" i="34"/>
  <c r="P21" i="34"/>
  <c r="P22" i="34"/>
  <c r="P8" i="34"/>
  <c r="P9" i="34"/>
  <c r="P5" i="34"/>
  <c r="P19" i="34"/>
  <c r="P7" i="34"/>
  <c r="P20" i="34"/>
  <c r="P29" i="34"/>
  <c r="C31" i="33"/>
  <c r="C28" i="33"/>
  <c r="I29" i="34"/>
  <c r="I32" i="34" l="1"/>
  <c r="S36" i="34"/>
  <c r="S35" i="34"/>
  <c r="C29" i="33"/>
  <c r="J29" i="34"/>
  <c r="G29" i="34"/>
  <c r="F29" i="34"/>
  <c r="K29" i="34" l="1"/>
  <c r="L29" i="34" s="1"/>
  <c r="G31" i="34"/>
  <c r="F31" i="34"/>
  <c r="K4" i="34"/>
  <c r="L4" i="34" s="1"/>
  <c r="K30" i="34"/>
  <c r="L30" i="34" s="1"/>
  <c r="K26" i="34"/>
  <c r="L26" i="34" s="1"/>
  <c r="K10" i="34"/>
  <c r="L10" i="34" s="1"/>
  <c r="K8" i="34"/>
  <c r="L8" i="34" s="1"/>
  <c r="K7" i="34"/>
  <c r="L7" i="34" s="1"/>
  <c r="K13" i="34"/>
  <c r="L13" i="34" s="1"/>
  <c r="K25" i="34"/>
  <c r="L25" i="34" s="1"/>
  <c r="K5" i="34"/>
  <c r="L5" i="34" s="1"/>
  <c r="K6" i="34"/>
  <c r="L6" i="34" s="1"/>
  <c r="K15" i="34"/>
  <c r="L15" i="34" s="1"/>
  <c r="K19" i="34"/>
  <c r="L19" i="34" s="1"/>
  <c r="K16" i="34"/>
  <c r="L16" i="34" s="1"/>
  <c r="K18" i="34"/>
  <c r="L18" i="34" s="1"/>
  <c r="K23" i="34"/>
  <c r="L23" i="34" s="1"/>
  <c r="K20" i="34"/>
  <c r="L20" i="34" s="1"/>
  <c r="K21" i="34"/>
  <c r="L21" i="34" s="1"/>
  <c r="K24" i="34"/>
  <c r="L24" i="34" s="1"/>
  <c r="K28" i="34"/>
  <c r="L28" i="34" s="1"/>
  <c r="K11" i="34"/>
  <c r="L11" i="34" s="1"/>
  <c r="K12" i="34"/>
  <c r="L12" i="34" s="1"/>
  <c r="K22" i="34"/>
  <c r="L22" i="34" s="1"/>
  <c r="K17" i="34"/>
  <c r="L17" i="34" s="1"/>
  <c r="K9" i="34"/>
  <c r="L9" i="34" s="1"/>
  <c r="N20" i="34" l="1"/>
  <c r="N24" i="34"/>
  <c r="N29" i="34"/>
  <c r="N4" i="34"/>
  <c r="O4" i="34" s="1"/>
  <c r="N6" i="34"/>
  <c r="N26" i="34"/>
  <c r="N15" i="34"/>
  <c r="N21" i="34"/>
  <c r="N8" i="34"/>
  <c r="N7" i="34"/>
  <c r="N13" i="34"/>
  <c r="N25" i="34"/>
  <c r="N5" i="34"/>
  <c r="N19" i="34"/>
  <c r="N28" i="34"/>
  <c r="N12" i="34"/>
  <c r="N17" i="34"/>
  <c r="N9" i="34"/>
  <c r="N30" i="34"/>
  <c r="N18" i="34"/>
  <c r="N22" i="34"/>
  <c r="N10" i="34"/>
  <c r="N23" i="34"/>
  <c r="N11" i="34"/>
  <c r="N16" i="34"/>
  <c r="O25" i="34" l="1"/>
  <c r="Q25" i="34"/>
  <c r="O13" i="34"/>
  <c r="Q13" i="34"/>
  <c r="O23" i="34"/>
  <c r="Q23" i="34"/>
  <c r="O17" i="34"/>
  <c r="Q17" i="34"/>
  <c r="O11" i="34"/>
  <c r="Q11" i="34"/>
  <c r="O7" i="34"/>
  <c r="Q7" i="34"/>
  <c r="O18" i="34"/>
  <c r="Q18" i="34"/>
  <c r="O9" i="34"/>
  <c r="Q9" i="34"/>
  <c r="O10" i="34"/>
  <c r="Q10" i="34"/>
  <c r="O30" i="34"/>
  <c r="Q30" i="34"/>
  <c r="O6" i="34"/>
  <c r="Q6" i="34"/>
  <c r="O29" i="34"/>
  <c r="Q29" i="34"/>
  <c r="O8" i="34"/>
  <c r="Q8" i="34"/>
  <c r="O21" i="34"/>
  <c r="Q21" i="34"/>
  <c r="O26" i="34"/>
  <c r="Q26" i="34"/>
  <c r="O12" i="34"/>
  <c r="Q12" i="34"/>
  <c r="O19" i="34"/>
  <c r="Q19" i="34"/>
  <c r="O24" i="34"/>
  <c r="Q24" i="34"/>
  <c r="O22" i="34"/>
  <c r="Q22" i="34"/>
  <c r="O15" i="34"/>
  <c r="Q15" i="34"/>
  <c r="O28" i="34"/>
  <c r="Q28" i="34"/>
  <c r="O16" i="34"/>
  <c r="Q16" i="34"/>
  <c r="O5" i="34"/>
  <c r="Q5" i="34"/>
  <c r="O20" i="34"/>
  <c r="Q20" i="34"/>
  <c r="Q4" i="34"/>
  <c r="R20" i="34" l="1"/>
  <c r="R19" i="34"/>
  <c r="R6" i="34"/>
  <c r="R11" i="34"/>
  <c r="R16" i="34"/>
  <c r="R12" i="34"/>
  <c r="R30" i="34"/>
  <c r="R17" i="34"/>
  <c r="R29" i="34"/>
  <c r="R24" i="34"/>
  <c r="R28" i="34"/>
  <c r="R26" i="34"/>
  <c r="R10" i="34"/>
  <c r="R23" i="34"/>
  <c r="R15" i="34"/>
  <c r="R21" i="34"/>
  <c r="R9" i="34"/>
  <c r="R13" i="34"/>
  <c r="R7" i="34"/>
  <c r="R4" i="34"/>
  <c r="R5" i="34"/>
  <c r="R22" i="34"/>
  <c r="R8" i="34"/>
  <c r="R18" i="34"/>
  <c r="R25" i="34"/>
  <c r="S39"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tc={7F076352-1F30-47C8-AF8F-A96CC71E278E}</author>
  </authors>
  <commentList>
    <comment ref="D49" authorId="0" shapeId="0" xr:uid="{7F076352-1F30-47C8-AF8F-A96CC71E278E}">
      <text>
        <t>[Threaded comment]
Your version of Excel allows you to read this threaded comment; however, any edits to it will get removed if the file is opened in a newer version of Excel. Learn more: https://go.microsoft.com/fwlink/?linkid=870924
Comment:
    “MAASification” viitab protsessile, mil mitmed erinevad liikuvusteenused (näiteks bussid, rongid, jagamisautod, jalgrattad, tõukerattad jne) integreeritakse üheks sujuvaks süsteemiks, mille kaudu kasutaja saab planeerida, broneerida ja tasuda kogu teekonna eest ühe äpi kaudu.</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Olavi Grünvald</author>
  </authors>
  <commentList>
    <comment ref="F11" authorId="0" shapeId="0" xr:uid="{537D2D6F-76B5-4138-8637-89A0A308D976}">
      <text>
        <r>
          <rPr>
            <sz val="9"/>
            <color indexed="81"/>
            <rFont val="Tahoma"/>
            <family val="2"/>
          </rPr>
          <t xml:space="preserve">eeldus, et varem seda maa-ala ei  hooldatud
</t>
        </r>
      </text>
    </comment>
    <comment ref="D12" authorId="0" shapeId="0" xr:uid="{A75B962F-387A-4044-97B6-8FF76D61164E}">
      <text>
        <r>
          <rPr>
            <sz val="9"/>
            <color indexed="81"/>
            <rFont val="Tahoma"/>
            <family val="2"/>
          </rPr>
          <t>Eesti KHG inventuur 2022, tabel 4.A</t>
        </r>
      </text>
    </comment>
    <comment ref="D14" authorId="0" shapeId="0" xr:uid="{2D2AFE3D-C4B2-4F90-BEE1-F6FB8104B7B5}">
      <text>
        <r>
          <rPr>
            <sz val="9"/>
            <color indexed="81"/>
            <rFont val="Tahoma"/>
            <family val="2"/>
          </rPr>
          <t>Eesti KHG inventuur 2022, Tabel 4.C</t>
        </r>
      </text>
    </comment>
    <comment ref="B42" authorId="0" shapeId="0" xr:uid="{6DC43831-31EA-486C-A227-62937A5F8E53}">
      <text>
        <r>
          <rPr>
            <sz val="9"/>
            <color indexed="81"/>
            <rFont val="Tahoma"/>
            <family val="2"/>
          </rPr>
          <t xml:space="preserve">Euroopa Komisjoni poolt edastatud parameetrid 2025.a KHG prognoosideks (EKUK, Stanislav Stõkov)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Olavi Grünvald</author>
  </authors>
  <commentList>
    <comment ref="B42" authorId="0" shapeId="0" xr:uid="{E436720D-369C-49F0-BFC0-6D2E96E1DD36}">
      <text>
        <r>
          <rPr>
            <sz val="9"/>
            <color indexed="81"/>
            <rFont val="Tahoma"/>
            <family val="2"/>
          </rPr>
          <t xml:space="preserve">Euroopa Komisjoni poolt edastatud parameetrid 2025.a KHG prognoosideks (EKUK, Stanislav Stõkov)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tc={BDA788CA-5D99-40B5-8842-AB7344FD8E5E}</author>
  </authors>
  <commentList>
    <comment ref="I2" authorId="0" shapeId="0" xr:uid="{BDA788CA-5D99-40B5-8842-AB7344FD8E5E}">
      <text>
        <t>[Threaded comment]
Your version of Excel allows you to read this threaded comment; however, any edits to it will get removed if the file is opened in a newer version of Excel. Learn more: https://go.microsoft.com/fwlink/?linkid=870924
Comment:
    Negatiivne number tähendab, et meede tekitab ühiskonnale (neto)tulu</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tc={64EB14F8-2B5A-464B-A30F-21D970FB0536}</author>
    <author>tc={4E84C9E7-EE1A-4AC4-A78C-DC62B7CEDC5C}</author>
    <author>tc={A7FC1125-13C4-4DE0-BDC8-13E783244E40}</author>
    <author>tc={86A94696-517C-4A79-8E69-E561A30F72AA}</author>
    <author>tc={BEDA999F-12A9-4F61-93B5-E137EB19066A}</author>
  </authors>
  <commentList>
    <comment ref="C72" authorId="0" shapeId="0" xr:uid="{64EB14F8-2B5A-464B-A30F-21D970FB0536}">
      <text>
        <t>[Threaded comment]
Your version of Excel allows you to read this threaded comment; however, any edits to it will get removed if the file is opened in a newer version of Excel. Learn more: https://go.microsoft.com/fwlink/?linkid=870924
Comment:
    maagaasi eriheide - st kasutatakse 100% maagaasi</t>
      </text>
    </comment>
    <comment ref="C241" authorId="1" shapeId="0" xr:uid="{4E84C9E7-EE1A-4AC4-A78C-DC62B7CEDC5C}">
      <text>
        <t>[Threaded comment]
Your version of Excel allows you to read this threaded comment; however, any edits to it will get removed if the file is opened in a newer version of Excel. Learn more: https://go.microsoft.com/fwlink/?linkid=870924
Comment:
    Vt transpordi teekaart</t>
      </text>
    </comment>
    <comment ref="C247" authorId="2" shapeId="0" xr:uid="{A7FC1125-13C4-4DE0-BDC8-13E783244E40}">
      <text>
        <t>[Threaded comment]
Your version of Excel allows you to read this threaded comment; however, any edits to it will get removed if the file is opened in a newer version of Excel. Learn more: https://go.microsoft.com/fwlink/?linkid=870924
Comment:
    Vt transpordi teekaart</t>
      </text>
    </comment>
    <comment ref="C254" authorId="3" shapeId="0" xr:uid="{86A94696-517C-4A79-8E69-E561A30F72AA}">
      <text>
        <t>[Threaded comment]
Your version of Excel allows you to read this threaded comment; however, any edits to it will get removed if the file is opened in a newer version of Excel. Learn more: https://go.microsoft.com/fwlink/?linkid=870924
Comment:
    Vt transpordi teekaart</t>
      </text>
    </comment>
    <comment ref="E271" authorId="4" shapeId="0" xr:uid="{BEDA999F-12A9-4F61-93B5-E137EB19066A}">
      <text>
        <t>[Threaded comment]
Your version of Excel allows you to read this threaded comment; however, any edits to it will get removed if the file is opened in a newer version of Excel. Learn more: https://go.microsoft.com/fwlink/?linkid=870924
Comment:
    st reisijate arvestuses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tc={A76B836A-3929-476E-8272-B0788E48E17C}</author>
  </authors>
  <commentList>
    <comment ref="H11" authorId="0" shapeId="0" xr:uid="{A76B836A-3929-476E-8272-B0788E48E17C}">
      <text>
        <t>[Threaded comment]
Your version of Excel allows you to read this threaded comment; however, any edits to it will get removed if the file is opened in a newer version of Excel. Learn more: https://go.microsoft.com/fwlink/?linkid=870924
Comment:
    eeldatud, et elektrit ei kasutata kütteks.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Olavi Grünvald</author>
  </authors>
  <commentList>
    <comment ref="E11" authorId="0" shapeId="0" xr:uid="{C57F5CD8-AA93-4F55-AD1A-71D6EE83CF3D}">
      <text>
        <r>
          <rPr>
            <sz val="9"/>
            <color indexed="81"/>
            <rFont val="Tahoma"/>
            <family val="2"/>
          </rPr>
          <t xml:space="preserve">Kui suure osa lokaalküttel hooneid saaks üle viia kaugküttele
</t>
        </r>
      </text>
    </comment>
    <comment ref="F11" authorId="0" shapeId="0" xr:uid="{437FA5E8-9E5E-46D5-AF8A-462E24D604BE}">
      <text>
        <r>
          <rPr>
            <sz val="9"/>
            <color indexed="81"/>
            <rFont val="Tahoma"/>
            <family val="2"/>
          </rPr>
          <t>Ülejäänud on elekter ja puit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Olavi Grünvald</author>
  </authors>
  <commentList>
    <comment ref="E11" authorId="0" shapeId="0" xr:uid="{60FEE8C7-C692-4151-A2C4-2DF7F975059B}">
      <text>
        <r>
          <rPr>
            <sz val="9"/>
            <color indexed="81"/>
            <rFont val="Tahoma"/>
            <family val="2"/>
          </rPr>
          <t xml:space="preserve">Vt meede SM1
</t>
        </r>
      </text>
    </comment>
    <comment ref="F11" authorId="0" shapeId="0" xr:uid="{6E2C60E0-9A66-4B78-AF49-ECF8E00FBC25}">
      <text>
        <r>
          <rPr>
            <sz val="9"/>
            <color indexed="81"/>
            <rFont val="Tahoma"/>
            <family val="2"/>
          </rPr>
          <t>Ülejäänud on elekter ja puit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Olavi Grünvald</author>
  </authors>
  <commentList>
    <comment ref="F13" authorId="0" shapeId="0" xr:uid="{64A8F40F-384C-4376-9B39-71CCBDD01F87}">
      <text>
        <r>
          <rPr>
            <b/>
            <sz val="9"/>
            <color indexed="81"/>
            <rFont val="Tahoma"/>
            <family val="2"/>
          </rPr>
          <t>18 on töötundide arv liinil ööpäevas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Olavi Grünvald</author>
  </authors>
  <commentList>
    <comment ref="I7" authorId="0" shapeId="0" xr:uid="{959CF413-E4AE-4100-8291-DCDDC4C98AD0}">
      <text>
        <r>
          <rPr>
            <sz val="9"/>
            <color indexed="81"/>
            <rFont val="Tahoma"/>
            <family val="2"/>
          </rPr>
          <t>Sõiduautode arvelt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Olavi Grünvald</author>
  </authors>
  <commentList>
    <comment ref="C7" authorId="0" shapeId="0" xr:uid="{00B493D9-D989-4623-880B-EE64DA22E36E}">
      <text>
        <r>
          <rPr>
            <sz val="9"/>
            <color indexed="81"/>
            <rFont val="Tahoma"/>
            <family val="2"/>
          </rPr>
          <t>võimalik on ainult kas üks või teine!</t>
        </r>
      </text>
    </comment>
    <comment ref="E8" authorId="0" shapeId="0" xr:uid="{7D66CE57-300E-4A3C-B4BC-5F43821C17E1}">
      <text>
        <r>
          <rPr>
            <sz val="9"/>
            <color indexed="81"/>
            <rFont val="Tahoma"/>
            <family val="2"/>
          </rPr>
          <t>Oslos ja Stockholmis 10-30m€/a</t>
        </r>
      </text>
    </comment>
    <comment ref="F8" authorId="0" shapeId="0" xr:uid="{B9C73E6F-DEE3-4A71-8B51-1B62AB2AE918}">
      <text>
        <r>
          <rPr>
            <sz val="9"/>
            <color indexed="81"/>
            <rFont val="Tahoma"/>
            <family val="2"/>
          </rPr>
          <t>Oslos: 0,1-0,3€/sõit
Stockholmis: 1,5-3€/sõit</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futureMetadata name="XLDAPR" count="1">
    <bk>
      <extLst>
        <ext uri="{bdbb8cdc-fa1e-496e-a857-3c3f30c029c3}">
          <xda:dynamicArrayProperties fDynamic="1" fCollapsed="0"/>
        </ext>
      </extLst>
    </bk>
  </futureMetadata>
  <cellMetadata count="1">
    <bk>
      <rc t="2" v="0"/>
    </bk>
  </cellMetadata>
  <valueMetadata count="4">
    <bk>
      <rc t="1" v="0"/>
    </bk>
    <bk>
      <rc t="1" v="1"/>
    </bk>
    <bk>
      <rc t="1" v="2"/>
    </bk>
    <bk>
      <rc t="1" v="3"/>
    </bk>
  </valueMetadata>
</metadata>
</file>

<file path=xl/sharedStrings.xml><?xml version="1.0" encoding="utf-8"?>
<sst xmlns="http://schemas.openxmlformats.org/spreadsheetml/2006/main" count="3930" uniqueCount="1683">
  <si>
    <t>Tööleht</t>
  </si>
  <si>
    <t>Meede</t>
  </si>
  <si>
    <t>Tegevused</t>
  </si>
  <si>
    <t>Allikas</t>
  </si>
  <si>
    <t>Kliimakavas mainitud?</t>
  </si>
  <si>
    <t>Märkused ja selgitused</t>
  </si>
  <si>
    <t>Hoonetega seotud meetmed (HO)</t>
  </si>
  <si>
    <t>HO1</t>
  </si>
  <si>
    <t>Munitsipaalhoonete energiatõhususe ja kliimakindluse suurendamine</t>
  </si>
  <si>
    <t>Renoveerimine C-klassi</t>
  </si>
  <si>
    <t>Kliimakava</t>
  </si>
  <si>
    <t>Jah</t>
  </si>
  <si>
    <t xml:space="preserve">Kõik hooned ei ole Linnavaraameti poolt hallatavad, samas on plaan linnavara konsolideerida. </t>
  </si>
  <si>
    <t>HO2</t>
  </si>
  <si>
    <t>Uute hoonete ehitamine A-klassi</t>
  </si>
  <si>
    <t>Tuleneb ka seadusest. Kuna uued hooned liituvad kaugküttevõrguga, mis on eelduslikult heitevaba, siis heidet otseselt ei vähenda, mistõttu on meetmena loetletud, kuid arvutustes ei ole kajastatud.</t>
  </si>
  <si>
    <t>HO3</t>
  </si>
  <si>
    <t>Munitsipaalhoonete ehitamise heite vähendamine</t>
  </si>
  <si>
    <t>Eelistada renoveerimist võimalusel täiesti uue hoone ehitamisele</t>
  </si>
  <si>
    <t>Stockholm - https://start.stockholm/globalassets/start/om-stockholms-stad/politik-och-demokrati/styrdokument/climate-action-plan-2030.pdf ; Vancouver - https://metrovancouver.org/services/air-quality-climate-action/Documents/climate-2050-buildings-roadmap.pdf#:~:text=A%20pathway%20to%20zero%20emissions,%20resilient%20buildings%20in,clean%20and%20sustainably%20powered%20building%20stock%20by%202050</t>
  </si>
  <si>
    <t>Ei</t>
  </si>
  <si>
    <t>Käsitletakse koos meetmega HO8.</t>
  </si>
  <si>
    <t>HO4</t>
  </si>
  <si>
    <t>Võimalikult suurele hulgale hoonetele installeeritakse päikesepaneelid katustele, kus see on võimalik.</t>
  </si>
  <si>
    <t>Tampere, Turku, Kopenhaagen, Vancouver, Manchester</t>
  </si>
  <si>
    <t>HO5</t>
  </si>
  <si>
    <t>Akendele päikesekaitse kile/filmi paigaldamine; aknavarjude või päikesekiledega uuendamine - energiatõhususe suurendamine</t>
  </si>
  <si>
    <t>Tampere</t>
  </si>
  <si>
    <t>Käsitletakse koos meetmega HO7.</t>
  </si>
  <si>
    <t>HO6</t>
  </si>
  <si>
    <t>Targa maja lahenduste kasutamine kütte/ventilatsiooni puhul (vastavalt ilmaprognoosile, sessoonsusele jne) - selleks on oluline hooneautomaatika rajamine hoonetesse</t>
  </si>
  <si>
    <t>Vancouver, Tampere; https://www.tampere.fi/sites/default/files/2025-05/Climate_Neutral_Tampere_2030_Roadmap_2024.pdf; ka kliimakavas</t>
  </si>
  <si>
    <t>HO7</t>
  </si>
  <si>
    <t>Hoonete sisetemperatuuride vähendamine kütteperioodil</t>
  </si>
  <si>
    <t>Helsinki - https://www.hel.fi/static/kanslia/julkaisut/2024/HKI_paastovahennysohjelma_julkaisu_ENG_valmis_saav.pdf#:~:text=Helsinki%20has%20set%20a%20target%20of%20becoming%20carbon-neutral,to%20become%20carbon-negative%20afterwards%20(City%20of%20Helsinki%202021).</t>
  </si>
  <si>
    <t>Käsitletakse koos meetmega HO5.</t>
  </si>
  <si>
    <t>HO8</t>
  </si>
  <si>
    <t>Munitsipaalhoonete uuenduslik renoveerimine ja ehitamine</t>
  </si>
  <si>
    <t>Ehitusplatsil ning ehituse etapi jooksul madala emissiooniga "tsooni" loomine; lähtutakse kliimaneutraalsuse põhimõttest - hanketingimustesse; ehitusplatsil lähtutakse nullheite põhimõttest, seda nt nii transpordi puhul (elektrilised sõidukid, kallurid, masinad jne), kui ka soojakute energia puhul, et oleks taastuvenergial põhinev (õhksoojuspumbad, päikesepaneelid jne)</t>
  </si>
  <si>
    <t>Tampere - https://www.tampere.fi/sites/default/files/2025-05/Climate_Neutral_Tampere_2030_Roadmap_2024.pdf</t>
  </si>
  <si>
    <t>Käsitletakse koos meetmega HO3.</t>
  </si>
  <si>
    <t>HO9</t>
  </si>
  <si>
    <t>Elu- ja ärihoonete uuenduslik renoveerimine ja ehitamine</t>
  </si>
  <si>
    <t>Riikliku projekteerimistingimuste andmise ning ehitusloa taotlemise tingimusena kohustatakse ettevõtteid ja elamute ehitusprotsessis arvutama süsinikujalajälge ning läbi viima ehituse elutsükli hindamise (LCA). Meetme eesmärk on vähendada CO₂-heidet kogu ehitussektori ulatuses.</t>
  </si>
  <si>
    <t>Tampere, Turku</t>
  </si>
  <si>
    <t>Meetmena kaardistatud kui üldine kliimateadlikkust suurendav meede, kuid arvutustes pole kajastatud, sest heidet otseselt ei vähenda.</t>
  </si>
  <si>
    <t>HO10</t>
  </si>
  <si>
    <t>Madala süsinikuemissiooniga ehitiste juhiste ning nõudmiste väljatöötamine ärihoonete ja korterelamute puhul</t>
  </si>
  <si>
    <t>Tampere, Kopenhaagen</t>
  </si>
  <si>
    <t>Sarnaselt energiamärgisele on võimalik luua nõue linna poolt, mis klassile peab ehitis vastama.
Käsitletakse koos meetmega HO13.</t>
  </si>
  <si>
    <t>HO11</t>
  </si>
  <si>
    <t>Kõik uued kortermajad ning ärihooned peavad olema ehitatud A-klassi</t>
  </si>
  <si>
    <t>Tampere, Turku, Bristol</t>
  </si>
  <si>
    <t>Kohustus tuleneb seadusest. Kuna uued hooned liituvad kaugküttevõrguga, mis on eelduslikult heitevaba, siis heidet otseselt ei vähenda, mistõttu on meetmena loetletud, kuid arvutustes ei ole kajastatud.</t>
  </si>
  <si>
    <t>HO12</t>
  </si>
  <si>
    <t>Eelistada hoonete/alade rekonstrueerimist uue ehitamisele; miljööalade rekonstrueerimine kui võimalik (Kalamajas, Kopli liinidel jne)</t>
  </si>
  <si>
    <t>Tampere, Bristol, Stockholm, Vancouver, Kopenhaagen</t>
  </si>
  <si>
    <t>Toimub Krulli kvartalis, Põhjala tehases, Noblessneris -- kuigi linn seda ei suuna ega vea, on eraldi meetmena kajastatud, et arvesse võtta linna koguemissioone</t>
  </si>
  <si>
    <t>HO13</t>
  </si>
  <si>
    <t>Energiakonsultatsioon ettevõtetele ja eraomanikele/elanikele ning koostöö suurendamine ning loomine energiatõhususe küsimustes äri- ning eraklientidega</t>
  </si>
  <si>
    <t>Käsitletakse koos meetmega HO10.</t>
  </si>
  <si>
    <t>Soojusmajandusega seotud meetmed (SM)</t>
  </si>
  <si>
    <t>SM1</t>
  </si>
  <si>
    <t>Kaugkütte- ja kaugjahutuse arendamine</t>
  </si>
  <si>
    <t>Kaugküttevõrkude laiendamine - piirkondadesse, kus on võimalik.</t>
  </si>
  <si>
    <t>Kopenhaagen, Tampere, Turku, Manchester, Vancouver - https://metrovancouver.org/services/air-quality-climate-action/Documents/climate-2050-buildings-roadmap.pdf#:~:text=A%20pathway%20to%20zero%20emissions,%20resilient%20buildings%20in,clean%20and%20sustainably%20powered%20building%20stock%20by%202050.</t>
  </si>
  <si>
    <t>SM2</t>
  </si>
  <si>
    <t>Kaugkütte- ja kaugjahutuse arendamine - kommunaalhooned</t>
  </si>
  <si>
    <t>Kaugkütte pakkuja Utilitas 2030. aastast alates on kliimaneutraalne ning pakub ainult rohelist energiat</t>
  </si>
  <si>
    <t>https://utilitas.ee/#:~:text=Utilitas%20on%20v%C3%A4hendanud%20fossiilsete%20k%C3%BCtuste%20kasutamist%20oma%20kaugk%C3%BCttes%C3%BCsteemides,kaasnevad%20kasvuhoonegaaside%20heitmed%20nulli%20ning%20kohaneda%20kliimamuutuste%20m%C3%B5judega.</t>
  </si>
  <si>
    <t>Kõik linnale kuuluvad hooned on märgistatud kaugküttevõrgust asukoha suhtes ja kel on perspektiivi, see liidetakse, et maagaasist või muust mittetaastuvast kütteliigist loobuda ja heitmeid vähendada. Kaugjahutuse arendamine ka linnale kuuluvatesse hoonetesse. Koolimajad suvekuudel tühjad, seal ei arendata jahutust.</t>
  </si>
  <si>
    <t>SM3</t>
  </si>
  <si>
    <t>Energiatõhususe tõstmine - tänavavalgustus</t>
  </si>
  <si>
    <t>Tänavavalgustuse energiaefektiivsuse tõstmine - tänavavalgustuse väljavahetamine/ja parendamine</t>
  </si>
  <si>
    <t>Tampere - https://www.tampere.fi/sites/default/files/2025-05/Climate_Neutral_Tampere_2030_Roadmap_2024.pdf; Kopenhaagen - https://kk.sites.itera.dk/apps/kk_pub2/index.asp?mode=detalje&amp;id=2062</t>
  </si>
  <si>
    <t>Keskkonna- ja Kommunaalamet on selles suunas liikunud</t>
  </si>
  <si>
    <t>SM4</t>
  </si>
  <si>
    <t>Energiatootmine üleliigsest soojusenergiast</t>
  </si>
  <si>
    <t>Üleliigse energia ning soojusenergia ülejäägi kasutamine; termaalenergia kasutamine läbi tarkade lahenduste/võrkude; era-ning KOVi koostöös süsteemi välja töötamine, kus targad lahendused aitavad läbi taastuvenergiatootmiste, kaug-keskkütte lahenduste; ringmajanduse põhimõtete. Ectogrid, Ectocloud lahendused, ülejääk energia ringlusse laskmisel ning kasutamisel</t>
  </si>
  <si>
    <t xml:space="preserve">Malmö - https://www.theguardian.com/urban-energy-innovation/2025/mar/18/learning-from-scandi-innovation-how-swedens-city-of-tomorrow-is-leading-the-way-in-climate-smart-urban-development?utm_source=chatgpt.com; UKs erinevad lahendused sarnastel alustel - </t>
  </si>
  <si>
    <t>Utilitas tegeleb väga uuenduslike meetmetega nagu heitvee ja mereenergia kasutamine, elektrolüüserite heitsoojuse kasutus, PEJ-de odava elektriga soojuse tootmine - kõik kaugküttevõrku ja kõigile kaugküttega liitunuile kasutamiseks. 
Mõju CO2 inventuurile puudub, mistõttu meetmena loetletud, kuid arvutustes ei ole käsitletud.</t>
  </si>
  <si>
    <t>Elektritootmise ning soojuse tootmisega seotud meetmed väljaspool kaugküttevõrku (EL)</t>
  </si>
  <si>
    <t>EL1</t>
  </si>
  <si>
    <t>Geotermaalenergia</t>
  </si>
  <si>
    <t>Geotermaalenergia lahenduste rakendamine, eriti piirkondades, kuhu kaugkütte võrgu rajamine ei ole võimalik (nt kaugemad kohad linnas; kohad, mis on eraldatud); Tallinnas Taludevahe 116 hetkel pilootprojekt https://www.egt.ee/uuringud-ja-projektid/maapoueressursid/geoenest#taludevahe; eelistada maapinnalähedast soojust või õhksoojuspumpasid</t>
  </si>
  <si>
    <t>Kopenhaagen - https://ecobnb.com/blog/2023/05/copenhagen-plan-zero-carbon-smart-city/#:~:text=The%20Danish%20capital%20has%20a%20climate%20plan%20to,territorial%20organization,%20green%20spaces,%20bicycle%20lanes,%20and%20others.; Tampere</t>
  </si>
  <si>
    <t>Arendajad valivad soodsaima ja soojuspumbad on kaugkütte järgselt parimad lahendused. Geotermaalsoojuse kasutamine eeldab kulukaid puurauke ja sellepärast eelistatakse kas maapinnalähist soojust (kollektor) või õhksoojuspumpa.
Mõju CO2 inventuurile puudub, mistõttu meetmena loetletud, kuid arvutustes ei ole käsitletud.</t>
  </si>
  <si>
    <t>EL2</t>
  </si>
  <si>
    <t>Soojuspumbad ja katlad</t>
  </si>
  <si>
    <t>Elektrikatelde- ja akude soodustamine ning kasutuselevõtt; õhksoojus- ja maasoojuspumpade kasutuselevõtt, eriti kus ei ole võimalik või mõistlik liituda kaugküttevõrguga</t>
  </si>
  <si>
    <t>Tampere; Kopenhaagen</t>
  </si>
  <si>
    <t>EL3</t>
  </si>
  <si>
    <t>Uute hoonete ehitus PV (päikesepaneelid); ka era- ja ärilahendused; akupargid ja salvestus</t>
  </si>
  <si>
    <t>Arvutuslikult käsitletud meetme HO4 juures.</t>
  </si>
  <si>
    <t>Trammitaristu arendamisega seotud meetmed (TR1…5)</t>
  </si>
  <si>
    <t>TR1</t>
  </si>
  <si>
    <t>Trammitaristu arendamine</t>
  </si>
  <si>
    <t>I etapi teostus - trammiteede põhivõrk (mh Liivalaia, Sõle, Peetri ja Laagna trammiteed)</t>
  </si>
  <si>
    <t>Tallinna ja Harjumaa kergrööbastranspordi teostatavus- ja tasuvusanalüüs (KRT lõppraport)</t>
  </si>
  <si>
    <t>Jah (üldisel tasandil)</t>
  </si>
  <si>
    <t>Käsitletakse terviklikult ühe meetmete grupina.</t>
  </si>
  <si>
    <t>TR2</t>
  </si>
  <si>
    <t>II etapi teostus (mh Viimsi, Mustamäe ja Lasnamäe põhjaosa trammiteed)</t>
  </si>
  <si>
    <t>KRT lõppraport</t>
  </si>
  <si>
    <t>TR3</t>
  </si>
  <si>
    <t>III etapi teostus (mh Haabersti ja Kalaranna trammiteed)</t>
  </si>
  <si>
    <t>TR4</t>
  </si>
  <si>
    <t>IV etapi teostus (mh Järvevana ja Jüri trammiteed)</t>
  </si>
  <si>
    <t>TR5</t>
  </si>
  <si>
    <t>V etapi teostus (mh Maardu ja Järve trammiteed)</t>
  </si>
  <si>
    <t>Kohaliku rongi taristu arendamisega seotud meetmed (TR6…10)</t>
  </si>
  <si>
    <t>TR6</t>
  </si>
  <si>
    <t>Kohaliku rongi taristu arendamine</t>
  </si>
  <si>
    <t>Ringraudtee</t>
  </si>
  <si>
    <t>Riigi planeering (https://www.riigiplaneering.ee/riigi-eriplaneeringud/tallinna-ringraudtee)</t>
  </si>
  <si>
    <t>Ringraudtee täpsemat mõju nn roheeesmärkidele projekti praeguses faasis võimalik hinnata, kuna selleks oleks vaja teostada täiendav liikuvusuuring ning määratleda ka ringraudtee asukoht, peatused jms. Seetõttu pole arvutustes käsitletud.</t>
  </si>
  <si>
    <t>TR7</t>
  </si>
  <si>
    <t>Põhja-Tallinna reisirong (Telliskivist Koplisse)</t>
  </si>
  <si>
    <t>Põhja-Tallinna ÜP (mitte veel kehtiv)</t>
  </si>
  <si>
    <t>Kuna sisendandmeid ei ole piisavalt, ei ole arvutustes käsitletud.</t>
  </si>
  <si>
    <t>TR8</t>
  </si>
  <si>
    <t>Kahe liiniga kergmetroo rajamine</t>
  </si>
  <si>
    <t>Metroo ekspertide grupp on selle välja pakkunud (https://www.err.ee/1609304040/kaunissaare-tallinna-voiks-rajada-kergmetroo)</t>
  </si>
  <si>
    <t>TR9</t>
  </si>
  <si>
    <t>Uute rongipeatuste rajamine (nt Fahle ja Avala)</t>
  </si>
  <si>
    <t>Ekspertarvamus täiendavate raudteepeatuste – Fahle, Avala – tasuvuse ning kasutatavuse kohta</t>
  </si>
  <si>
    <t>Meetme rakendamine sõltub riigist, mistõttu pole arvutustes käsitletud.</t>
  </si>
  <si>
    <t>TR10</t>
  </si>
  <si>
    <t>Tihedam sõidugraafik linnasiseste rongide puhul</t>
  </si>
  <si>
    <t>Bussitaristu arendamisega seotud meetmed (TR11…12)</t>
  </si>
  <si>
    <t>TR11</t>
  </si>
  <si>
    <t>Bussi taristu arendamine</t>
  </si>
  <si>
    <t>Bussiliinide ja -aegade ümberkorraldamine andmepõhiselt, et paremini vastata inimeste liikumisvajadustele (ja et oleks võimalikult vähe ümberistumisi)</t>
  </si>
  <si>
    <t>Tartu ÜT ümberkorraldamise kogemus (https://www.tartu.ee/et/liinivorgu-analuus)</t>
  </si>
  <si>
    <t>TR12</t>
  </si>
  <si>
    <t>Heitevaba veerem</t>
  </si>
  <si>
    <t>Liikuvuskava 2035</t>
  </si>
  <si>
    <t>Ühistranspordi arendamisega seotud üldised meetmed (TR13…18)</t>
  </si>
  <si>
    <t>TR13</t>
  </si>
  <si>
    <t>Üldine ühistranspordi arendamine</t>
  </si>
  <si>
    <t>Tallinna regiooni ühtse ÜT süsteemi loomine (liinivõrgud ja ümberistumised)</t>
  </si>
  <si>
    <t>CLIMATE NEUTRAL TAMPERE 2030</t>
  </si>
  <si>
    <t>Trammiteede kava-võrgustik; eelisarendatavad liinid; aegade ühildamised ja liinide dubleerimise vältimine.
Käsitletakse terviklikult ühe meetmete grupina.</t>
  </si>
  <si>
    <t>TR14</t>
  </si>
  <si>
    <t>Nõuda uusarenduste juures ühistranspordi loomist, juhul kui seda piirkonnas veel ei ole. Eelisarendada ühistranspordi läheduses (erinevaid viise, kuidas läheneda teemale).</t>
  </si>
  <si>
    <t>Hollandi näide, et uusi elamuid ehitada kuni 1km kaugusele olemasolevast ühistranspordist: https://www.fastcompany.com/91210334/the-weird-dutch-trick-to-building-housing-across-the-country</t>
  </si>
  <si>
    <t>Käsitletakse terviklikult ühe meetmete grupina.
Arenduste juures luua ning arvestada kohe ühistranspordi viimisega arendustesse. Meetme mõte on soodustada ühistranspordipõhist planeerimist (transit-oriented development ehk TOD), mitte vastupidist. Sellisel viisil on ühistransport efektiivsem, kasutajasõbralikum, planeerimine on valglinnastumist takistav ja transpordist tulenev saaste madalam. Toetav kirjandus: https://www.sciencedirect.com/science/article/pii/S0197397515301594?via%3Dihub https://www.sciencedirect.com/science/article/pii/S0966692317303460?via%3Dihub https://www.sciencedirect.com/science/article/pii/S0149718919302381?via%3Dihub https://www.sciencedirect.com/science/article/pii/S0966692318300802?via%3Dihub</t>
  </si>
  <si>
    <t>TR15</t>
  </si>
  <si>
    <t>Kõikidel põhiteedel on ühissõidukirada, eelistatavalt tee keskel, bussitaskute vajaduse eemaldamine</t>
  </si>
  <si>
    <t>Tallinna linnakeskuse ligipääsetavuse ja liikuvuse uuring 
NACTO bussiridade soovitused (https://nacto.org/publication/urban-street-design-guide/street-design-elements/transit-streets/dedicated-median-bus-lanes/)</t>
  </si>
  <si>
    <t>Käsitletakse terviklikult ühe meetmete grupina. 
Ühistransport samal trassil (trammid ja bussid nt tänava keskel).</t>
  </si>
  <si>
    <t>TR16</t>
  </si>
  <si>
    <t xml:space="preserve">Ühistranspordi eelisõigus (roheline laine) ristmikel </t>
  </si>
  <si>
    <t>Varssavis ÜT foori prioriteetsus tegi ÜT kiiremaks https://www.nature.com/articles/s41598-024-74960-x#Sec5</t>
  </si>
  <si>
    <t>Käsitletakse terviklikult ühe meetmete grupina.
Ühistranspordiga, jalgsi või jalgrattaga liikumise 70%  osakaalu  saavutamine Tallinna linnaregioonis.</t>
  </si>
  <si>
    <t>TR17</t>
  </si>
  <si>
    <t xml:space="preserve">Igale elanikule ühistranspordipeatus (piisava teenustasemega) maksimaalselt 400 meetri kaugusel </t>
  </si>
  <si>
    <t>Tallinna ÜT teenustaseme analüüs: https://transpordiamet.ee/sites/default/files/documents/2022-10/Haamer_l6put88.pdf</t>
  </si>
  <si>
    <t>TR18</t>
  </si>
  <si>
    <t>Ühistransport erivajadusega inimestele ligipääsetavamaks - ka veeremi osas</t>
  </si>
  <si>
    <t>Lille'i uued ligipääsetavamad trammid (https://cinea.ec.europa.eu/news-events/news/transforming-lilles-public-transport-network-2025-03-17_en); universaalse disaini kohta: https://www.toi.no/getfile.php/1377348-1706868545/mmarkiv/Hannes%20mappe%202020/Hanne%202024/Universal%20design%20in%20transport_Article%206.pdf</t>
  </si>
  <si>
    <t>Ei (otseselt ei ole)</t>
  </si>
  <si>
    <t>Multimodaalsusega seotud meetmed (TR19…21)</t>
  </si>
  <si>
    <t>TR19</t>
  </si>
  <si>
    <t>Multimodaalsus</t>
  </si>
  <si>
    <t>Sõidujagamise ja mikromobiilsuse teenuse sidumine linna ühistranspordiga (sh jalgratta parkimise võimalused ühistranspordipeatuste juures, pargi ja reisi võimalused)</t>
  </si>
  <si>
    <t>Multimodaalsus Läänemere regioonis (sh Tartu) - https://interreg-baltic.eu/project/cities-multimodal/</t>
  </si>
  <si>
    <t xml:space="preserve">Käsitletakse terviklikult ühe meetmete grupina.
Aitab vähendada sõltuvust autost ning tõstab ühistranspordi atraktiivsust. https://nap.nationalacademies.org/catalog/23578/shared-mobility-and-the-transformation-of-public-transit </t>
  </si>
  <si>
    <t>TR20</t>
  </si>
  <si>
    <t>MaaS lahenduse väljatöötamine pealinnaregioonis (rong, linnabuss, maakonnabuss jms ühtses süsteemis) - Mobility as a service; ka kaasata autojagamise võimalused; keskne reisiplaneerija teenus</t>
  </si>
  <si>
    <t>Soome, Whim rakendus, Tallinna jätkusuutliku linnaliikuvuse kava</t>
  </si>
  <si>
    <t>Käsitletakse terviklikult ühe meetmete grupina.
Kasutusel laialdaselt: https://maasification.com/applications/countries/</t>
  </si>
  <si>
    <t>TR21</t>
  </si>
  <si>
    <t>Liikuvuskeskuste loomine (nt Kristiine, Järve, Ülemiste)</t>
  </si>
  <si>
    <t>Tallinna jätkusuutliku linnaliikuvuse kava, KRT lõppraport</t>
  </si>
  <si>
    <t>Käsitletakse terviklikult ühe meetmete grupina.
Mh parem rongipeatus, jalg- ja jalgrattatunnelid, busside ja trammide ühendused</t>
  </si>
  <si>
    <t>Erinevad jalgrattaga liiklemist toetavad meetmed (TR22…29)</t>
  </si>
  <si>
    <t>TR22</t>
  </si>
  <si>
    <t>Mugavad ja ohutud jalgrattaga liikumise võimalused</t>
  </si>
  <si>
    <t>Jalgrattateede põhivõrgu välja ehitamine aastaks 2035 (sh olemasolevate põhivõrgu rattateede kvaliteedi tõstmine)</t>
  </si>
  <si>
    <t>Tallinna Rattastrateegia 2018-2027, Tallinn 2035 arengustrateegia</t>
  </si>
  <si>
    <t>Käsitletakse terviklikult ühe meetmete grupina.
Eesmärgiks rattasõidu osakaal kõigist liikumistest vähemalt 11% - aastaks 2050 reaalne oleks sama suurusjärk (kuni 15%). Rattastrateegiat uuendatakse.</t>
  </si>
  <si>
    <t>TR23</t>
  </si>
  <si>
    <t>Jalgrattateede tervisevõrgu välja ehitamine aastaks 2035</t>
  </si>
  <si>
    <t>TR24</t>
  </si>
  <si>
    <t>Rattaparklate loomine kõikidesse piirkondadesse ja keskustesse (15-100m kaugusel sihtkohtadest), sh rattaparkimisnormatiivi loomine uusarenduste juurde (rattastrateegias täpsemad numbrid välja toodud)</t>
  </si>
  <si>
    <t>TR25</t>
  </si>
  <si>
    <t>Koolide ümbruste jalgrattasõbralikuks muutmine (1km raadiused koolidest)</t>
  </si>
  <si>
    <t>Käsitletakse terviklikult ühe meetmete grupina.
Eesmärgiks kodu ja kooli vahel liikumistest 25% tehtud jalgrattaga; jalgrattasõbraliikus - loodud mugav ja turvaline taristu; rahustatud liiklus, madalamad piirkiirused.</t>
  </si>
  <si>
    <t>TR26</t>
  </si>
  <si>
    <t>Rattateede hooldus lumisel ajal ülelinnaliselt kolme prioriteeditaseme põhjal</t>
  </si>
  <si>
    <t>Oulu linn (https://www.ouka.fi/en/street-maintenance/snow-ploughing-and-anti-skid-treatment?accordion=accordion-24804)</t>
  </si>
  <si>
    <t>Käsitletakse terviklikult ühe meetmete grupina.
Oulus on kolm prioriteeditaset jalg- ja jalgrattatee tähtsuse põhjal. Nt prioriteetsemate jalgrattateede puhul lume eemaldamine 3 tunni jooksul, kui on sadanud vähemalt 2 cm lund; teistes kohtades 6 tunni jooksul, kui on sadanud vähemalt 5 cm lund.</t>
  </si>
  <si>
    <t>TR27</t>
  </si>
  <si>
    <t>Avalikes asutustes jalgratta kasutuse toetamine</t>
  </si>
  <si>
    <t>Oslos kastirataste ostu toetamine KOVi poolt (https://cyclingindustry.news/oslo-handing-citizens-1200-for-electric-cargo-bike-purchases/)</t>
  </si>
  <si>
    <t>Käsitletakse terviklikult ühe meetmete grupina.
Vähem ametiautosid on väike, aga positiivne samm kliimaneutraalsuse jaoks, samuti eeskujuks teistele.</t>
  </si>
  <si>
    <t>TR28</t>
  </si>
  <si>
    <t>Linna rattaringluse loomine</t>
  </si>
  <si>
    <t>Tartu linn</t>
  </si>
  <si>
    <t>Käsitletakse terviklikult ühe meetmete grupina.
Mõned elektrirattad on linnas olemas, aga tegu on rohkem eksklusiivteenusega - puudub soodne, terviklik ja ühtne süsteem nagu Tartus. Võiks olla 20 miljonit investeering + 5 miljonit aastane hooldamistasu.</t>
  </si>
  <si>
    <t>TR29</t>
  </si>
  <si>
    <t>Täpsemad jalgrattaloendused või muud jalgrattasõitude andmed</t>
  </si>
  <si>
    <t>Taani näited jalgratta andmete kogumise võimalustest: https://cyclingsolutions.info/opbyg-en-vidensbank-om-cykling/</t>
  </si>
  <si>
    <t>Käsitletakse terviklikult ühe meetmete grupina.
Andmeid on siiani väga vähe - paremad andmed aitaks paremini suunata arengut; sellega on plaanis rohkem tegeleda.</t>
  </si>
  <si>
    <t>TR30</t>
  </si>
  <si>
    <t>Jalgrattakiirteede võrgu loomine</t>
  </si>
  <si>
    <t>Jalgrattakiirteede võrgu loomine (5-30km pikkused takistusteta laiad jalgrattateede koridorid, mis ühendaksid Tallinna naabervaldadega)</t>
  </si>
  <si>
    <t>cyclehighways.eu (Tallinna regioon toodud välja kui perspektiivikas asukoht)</t>
  </si>
  <si>
    <t>Käsitletakse terviklikult ühe meetmete grupina.
Rattastrateegiast: 5–30 km pikkusteks sõitudeks ning selle peamine eesmärk on
ühendada linnapiiritagused alad linnaga. Rattastrateegia neid ei kajasta, kuna investeeringud on suured ja kasutajate hulk tõenäoliselt väiksem.</t>
  </si>
  <si>
    <t>Erinevad jalgsi liiklemist toetavad meetmed (TR22…29)</t>
  </si>
  <si>
    <t>TR31</t>
  </si>
  <si>
    <t>Jalakäijasõbraliku linna loomine / autostumise vähendamine</t>
  </si>
  <si>
    <t>Jalakäijate alade laiendamine, nt autovabad tänavad (vanalinnas ning selle läheduses, linnaosade/asumite keskustes)</t>
  </si>
  <si>
    <t>Nt Malmö (https://netzerocities.eu/2025/03/27/malmos-bold-road-to-climate-neutrality-a-model-for-systemic-change/) 
Pariis (https://eurocities.eu/latest/there-is-a-will-and-a-way-to-green-paris/)
Ljubljanas kliimaneutraalsuse nimel autovabade alade laiendamine (https://www.ebrdgreencities.com/policy-tool/pedestrianisation-and-car-free-zones-ljubljana-slovenia-2/)</t>
  </si>
  <si>
    <t>TR31…TR34 käsitletakse terviklikult ühe meetmete grupina.</t>
  </si>
  <si>
    <t>TR32</t>
  </si>
  <si>
    <t>Teede ja tänavate rekonstrueerimisel lähtuda üheksa tänavatüübi põhimõttest; või Tänavagiidist, mis on veel täpsem, aga veel mitte valminud.</t>
  </si>
  <si>
    <t>Tallinna üheksa tänavatüüpi (https://strateegia.tallinn.ee/liikuvus)
Tänavagiid (mitte veel valminud)
Vilniuse tänavagiid</t>
  </si>
  <si>
    <t>TR31…TR34 käsitletakse terviklikult ühe meetmete grupina.
Aitab vähendada autokesksust, tuua rohkem rohelust linnaruumi ning luua eeldused jalakäijate/jalgratturite arvu kasvuks.</t>
  </si>
  <si>
    <t>TR33</t>
  </si>
  <si>
    <t>Linnasisene 30km/h piirkiirus</t>
  </si>
  <si>
    <t>Tallinna arengusuunad</t>
  </si>
  <si>
    <t>Ei (otseselt ei ole, kuid üldiselt viidatud kiiruse alandamisele)</t>
  </si>
  <si>
    <t>TR31…TR34 käsitletakse terviklikult ühe meetmete grupina.
Kaudne meede - heite vähenemine tekib läbi selle, et jala ja rattaga on turvalisem ja parem liikuda.</t>
  </si>
  <si>
    <t>TR34</t>
  </si>
  <si>
    <t>Roheline viimase miili teenus (last mile delivery inglise keeles)</t>
  </si>
  <si>
    <t>Võrdleb erinevaid viimase miili teenuse variante: https://www.sciencedirect.com/science/article/pii/S2210670724003172</t>
  </si>
  <si>
    <t>TR31…TR34 käsitletakse terviklikult ühe meetmete grupina.
Viimane "miil" tuua kastiratta, roboti, autonoomse sõiduki vms-ga</t>
  </si>
  <si>
    <t>TR35</t>
  </si>
  <si>
    <t>Raskeveokid üha rohkem suunata Tallinna asemel Muuga ja Paldiski sadamatesse</t>
  </si>
  <si>
    <t>Tallinna Sadam</t>
  </si>
  <si>
    <t>Kesklinnas autoga liiklemist piiravad meetmed (TR36…37)</t>
  </si>
  <si>
    <t>TR36</t>
  </si>
  <si>
    <t>Ummikumaks</t>
  </si>
  <si>
    <t>Ummikumaks kesklinnas tipptundidel</t>
  </si>
  <si>
    <t>Stockholm (OECD analüüs: https://www.itf-oecd.org/sites/default/files/docs/swedish-congestion-charges.pdf)</t>
  </si>
  <si>
    <t>Mingitel kellaaegadel maksustada; erinevaid viise, kuidas rakendada. Linnal puudub seadusandlik alus meetme kehtestamiseks.
Käsitletakse koos meetmetega TR37 ja TR44.</t>
  </si>
  <si>
    <t>TR37</t>
  </si>
  <si>
    <t>Autovaba kesklinn</t>
  </si>
  <si>
    <t>Autovaba kesklinn - ambitsioonikas mõte, et kesklinn/linnasüda autovabaks teha (va erisõidukid; erinevaid viise, kuidas läheneda teemale)</t>
  </si>
  <si>
    <t>Toob kaasa heitmete vähenemise https://www.sciencedirect.com/science/article/pii/S0160412016302161?via%3Dihub 
Proovitud Oslos  https://www.witpress.com/elibrary/wit-transactions-on-ecology-and-the-environment/226/36274</t>
  </si>
  <si>
    <t>Käsitletakse koos meetmetega TR36 ja TR44.</t>
  </si>
  <si>
    <t>Parkimisega seotud meetmed (TR38…43)</t>
  </si>
  <si>
    <t>TR38</t>
  </si>
  <si>
    <t>Parkimine</t>
  </si>
  <si>
    <t>Andmepõhiselt hea ühistranspordiga piirkondades parkimisalade piiramine; välja kaardistatud alad, kus on parem ÜT, siis vähendada parkimisalasid</t>
  </si>
  <si>
    <t>Spin Unit (https://spinunit.org/2019-metapark-tallinn)</t>
  </si>
  <si>
    <t>TR39</t>
  </si>
  <si>
    <t>Linnale kuuluvate parkimisalade (sh tänavapealse parkimise) asendamine haljastuse või hoonestusega - hoonestus ka linna tihendamise ja ruumikasutusega seotud; samuti haljastus maakasutuse poolelt</t>
  </si>
  <si>
    <t>Näide, mis mõju võib olla parkimiskohtade haljastuseks muutmisel: https://www.nature.com/articles/s42949-022-00073-x</t>
  </si>
  <si>
    <t>Käsitletakse terviklikult ühe meetmete grupina.
Ka ruumiloomega seotud. Linnale ei kuulu ehk palju selliseid parkimisalasid, aga põhimõttena käsitletud.</t>
  </si>
  <si>
    <t>TR40</t>
  </si>
  <si>
    <t>Tasulise parkimisala laiendamine üle kogu Tallinna</t>
  </si>
  <si>
    <t>Amsterdami näitel on leitud, et tasuline parkimine vähendab parkimise nõudlust: https://www.sciencedirect.com/science/article/pii/S0094119021001005</t>
  </si>
  <si>
    <t>TR41</t>
  </si>
  <si>
    <t>Uusarenduste puhul nõuda parkimise rajamist hoone sisse, maa alla või eraldi parkimismajja, mitte õuealale</t>
  </si>
  <si>
    <t>Väliparklate kliimamõju (https://www.sciencedirect.com/science/article/abs/pii/S2210670722002530)</t>
  </si>
  <si>
    <t>Käsitletakse terviklikult ühe meetmete grupina.
Samas ka maa-alune parkimine võib olla keskkonnale päris kahjulik (https://sustain.ubc.ca/sites/default/files/2022-057_Estimating%20the%20carbon%20contribution%20of%20parking%20spaces_Ayres%20Rebello.pdf). Seetõttu on parkimise vähendamine parim variant; maa-alust parkimist saab kombineerida varjendi nõudmisega.</t>
  </si>
  <si>
    <t>TR42</t>
  </si>
  <si>
    <t>Magalapiirkondades (nt Mustamäe, Lasnamäe) parkimishoonete rajamine, et hoonetevahelised alad taas haljastada</t>
  </si>
  <si>
    <t>Tbilisis Tallinnale sarnaseid trende uuritud (nt hoovid muutunud parklateks): https://www.tandfonline.com/doi/figure/10.1080/15387216.2021.1993292?scroll=top&amp;needAccess=true</t>
  </si>
  <si>
    <t>TR43</t>
  </si>
  <si>
    <t>Kvaliteedinõuded väliparklatele (miinimum haljastuse %, puud, pinnas jm)</t>
  </si>
  <si>
    <t>Uuring näitab erinevat tüüpi väliparklate mõju temperatuurile (https://www.mdpi.com/2073-4433/12/8/994)</t>
  </si>
  <si>
    <t>Käsitletakse terviklikult ühe meetmete grupina.
Ajutiste parklate puhul ei saa rakendada, muidu on võimalik rakendada.</t>
  </si>
  <si>
    <t>Sõidukite heite vähendamisega seotud meetmed (TR44…47)</t>
  </si>
  <si>
    <t>TR44</t>
  </si>
  <si>
    <t>Sõidukite heidete vähendamine</t>
  </si>
  <si>
    <t>ZEZ (zero-emission zone ehk nullheiteala) rakendamine kesklinnas</t>
  </si>
  <si>
    <t>World Resources Institute (WRI); allikas LEZ (madalheiteala) ja KHG vähendamise omavahelise seose kohta: O'Regan, A.C. and Nyhan, M.M., 2023. Towards sustainable and net-zero cities: A review of environmental modelling and monitoring tools for optimizing emissions reduction strategies for improved air quality in urban areas. Environmental Research, 231, p.116242.</t>
  </si>
  <si>
    <t>Käsitletakse koos meetmetega TR36 ja TR37.
WRI soovitused: https://www.wri.org/insights/zero-emission-zones-lessons-cities. On uuritud rakendamist vanalinnas, Ülemistes.
Oluline on siin süsinikuvabade liikumisviiside soodustamine linnas ning LEZ piirkonnad aitavad kaasa kaudselt ka masinapargi uuendamisele - elektri ja vesinikusõidukitel on väiksemad tasud. Suurem kasu KHG puhul toimib komplektina koos ühistranspordi-, ratta- ja jalgsitaristu arendamisega, lisaks elektrilaadijate lisamisega jne; otsene heite vähenemine LEZ aladega rahvusvahelise praktika näitel on ainult ca 2%. 2019 uuring, mis toob modelleerimisega välja, et transpordist tulenevate heitgaaside vähendamine Tallinnas hoiaks ära enneaegseid surmasid. Allikas: https://www.inderscience.com/info/inarticle.php?artid=101844. 12-13 protsenti surmadest Eestis on põhjustatud keskkonna (sh saaste) tõttu https://www.eea.europa.eu/en/analysis/publications/healthy-environment-healthy-lives. Müra puhul on tänavatel soovituslik tase alla 53 dB Lden, allikas: https://cdn.who.int/media/docs/default-source/who-compendium-on-health-and-environment/who_compendium_noise_01042022.pdf. Tallinnas on need tasemed keklinnas ja peamistes transpordikoridorites selgelt üle 53 dB Lden või piiri lähedal. https://xgis.maaamet.ee/xgis2/page/app/myrakaart.</t>
  </si>
  <si>
    <t>TR45</t>
  </si>
  <si>
    <t>Linna veeremi (sh MUPO ja operatiivsõidukid) üleviimine süsinikuvabadele kütustele. Lisaks kaaluda operatiivsõidukite elektrifitseerimist</t>
  </si>
  <si>
    <t>Tallinnal juba kavas ja tegemisel</t>
  </si>
  <si>
    <t>Tuleb niikuinii - oluline arvutuste jaoks, kuidas mõjutab ja kui palju väheneb heide aastaks 2050. Kliimakavas on seda kajastatud vastavalt: Linna ja avaliku sektori transporditeenuste hangetes (nt kommunaalveokid, 
takso- jm transporditeenused, linnale kuuluvad ametiautod, näiteks sotsiaal- ja 
tervishoiuameti ning munitsipaalpolitsei  ameti sõidukid, haljastuse hooldustehnika) 
heitevaba või vähese süsinikuheitega sõidukite eelistamine.</t>
  </si>
  <si>
    <t>TR46</t>
  </si>
  <si>
    <t>Korraliku elektriautode laadimise võrgustiku rajamine linna; vesinikuparklate loomine linna; Tallinnas vabakasutuses 50 MW koguvõimsusega laadimistaristu. Kiirlaadijate puhul nt ca 20 laadijat 1000 auto kohta või 1 laadija 10 elektriauto kohta</t>
  </si>
  <si>
    <t>EL elektriautode laadimise taristu: https://alternative-fuels-observatory.ec.europa.eu/sites/default/files/document-files/2024-05/Charging_ahead_Accelerating_the_roll-out_of_EU_electric_vehicle_charging_infrastructure.pdf  
Taipei laadimistaristu arendamine: https://www.ebrdgreencities.com/policy-tool/ev-charging-infrastructure-in-taipei/</t>
  </si>
  <si>
    <t>20 laadijat 1000 auto kohta. EL soovitus iseenesest on 1 laadijat 10 elektriauto kohta. Allikas : https://www.eea.europa.eu/en/analysis/publications/sustainability-of-europes-mobility-systems/energy-infrastructure</t>
  </si>
  <si>
    <t>TR47</t>
  </si>
  <si>
    <t>Avalikes asutustes elektriautode toetamine: linna ja avaliku sektori transporditeenuste hangetes (prügivedu, tänavate koristus, haljastuse hooldus …).</t>
  </si>
  <si>
    <t>Maakasutusega seotud meetmed (MA)</t>
  </si>
  <si>
    <t>MA1</t>
  </si>
  <si>
    <t>Looduslike pinnaste ja maakasutuse eelistamine</t>
  </si>
  <si>
    <t>Rohealade (pargid, rohealad, muruplatsid, haljastus, rohevõrgustik jne) säilitamine ja juurde tekitamine</t>
  </si>
  <si>
    <t>Rahvusvaheline praktika ja näited</t>
  </si>
  <si>
    <t>MA2</t>
  </si>
  <si>
    <t>Metsa- ja looduslike alade säilitamine/pindala suurendamine</t>
  </si>
  <si>
    <t>MA3</t>
  </si>
  <si>
    <t>Rohealad</t>
  </si>
  <si>
    <t>Nõuded haljasaladele (nt murulapi asemel põõsad, puud, mitmekesisus)</t>
  </si>
  <si>
    <t>MA4</t>
  </si>
  <si>
    <t>Ujuvad rohealad-saared</t>
  </si>
  <si>
    <t>Parandab elurikkust; väga-vähesel määral CO2 sidumine; teadlikkuse tõstmine</t>
  </si>
  <si>
    <t>MA5</t>
  </si>
  <si>
    <t>Rohealade (pargid, rohealad, muruplatsid, haljastus jne) säilitamine ja juurde tekitamine</t>
  </si>
  <si>
    <t>Käsitletakse terviklikult ühe meetmete grupina.
Meeteme tõhusus: Looduslikud rohealad (pargid, linna metsad) toimivad üldiselt olulise süsiniku neeluna (sõltub puu liigist, kasvu kiirusest, vanusest, kliimavöötmest jmt üksikasjadest, võivad erinevused olla väga suured). On ka hinnatud, et keskmine tänavapuu eluiga on  20–30 aastat, mistõttu paljud puud ei saavuta kunagi  oma maksimaalset süsiniku sidumise potentsiaali.                                                                                     Tallinna tingimustes on rohealade kaitsmine ja juurdekasv  sobiv ja realistlik meede. Arengustrateegias Tallinn 2035 on oluline eesmärk  säilitada vett läbilaskva maakatte osakaalu (%) linna pindalast, kus sihttase 2035 aastaks on 65%.</t>
  </si>
  <si>
    <t>Ruumiloomega (linnaplaneerimisega) seotud meetmed (RL)</t>
  </si>
  <si>
    <t>RL1</t>
  </si>
  <si>
    <t>Ruumiloome</t>
  </si>
  <si>
    <t>Asustuse paigutumine (ehitamine) vastavalt tuulekoridoridele - energiaefektiivsuse ja tõhususe eesmärkidel. Vähendab soojustuseks või jahutuseks kuluvat energiat.</t>
  </si>
  <si>
    <t>Bristol, Tampere, Stockholm</t>
  </si>
  <si>
    <t xml:space="preserve">Käsitletakse terviklikult ühe meetmete grupina.
Kasutatakse kus võimalik ja niivõrd kuivõrd on võimalik, aga ei ole selge, kas ülelinnalises skaalas, vaid pigem ühe DP piires. Kliimamuutuste mõjudega kohanemise ja energiatõhususe komponendina ilmselt arvestatav. Vajab konkreetset eesmärgistamist ja läbimõeldud kavandamist ning rannikuala mõjudega arvestamist – merebriisid suvel jahedad ja talvel külmad.  Ilmselt tuleks Tallinna puhul säilitada ühendus mere ja linna siseosade vahel samas välitides ebameeldivaid tuuletunneleid jne. Vajaks mikroklimaatilist modelleerimist ja planeeringutes uue tegurina arvestamist. Realistlikkuse mõttes on keeruline näiteks olemasolevat linnasüdant ümber kujundada koridore loovaks – pigem saab seda rakendada uusarendustes. </t>
  </si>
  <si>
    <t>RL2</t>
  </si>
  <si>
    <t>Linna tihendamine ÜRO säästva arengu eesmärkidest lähtuvalt vähemalt 12 000 in/km2 kohta linnakeskustes ning 15-minuti linna printsiipi silmas pidades. Lubada tihendada linnaruumi eriti keskustes ja ÜT lähedal, nt parklate ja endiste tööstusalade asemele (pigem mitte nt hoovidesse). DP-de kehtestamine eelisjärjekorras selle põhjal</t>
  </si>
  <si>
    <t>Kesklinna ÜP (mitte kehtiv), ÜRO</t>
  </si>
  <si>
    <t>Käsitletakse terviklikult ühe meetmete grupina.
Meetme efekt on heite vältimises. Kompaktse linnaga väheneb autostumine – säästes väga oluliselt kütuse põletamist (Barcelona, Pariis ja Milano). Tihedama asustuse kliimakasud on kvantifitseeritud ka modelleerimise teel. Näiteks Suurbritannia andmetel toob elanikkonna tiheduse 20% tõus kaasa hinnanguliselt ~10% languse transpordist tulenevas CO₂ heites, eeldusel et senised liikumisharjumused säilivad.   
Tallinna jaoks on kompaktsema linnastruktuuri kujundamine strateegiliselt kindlasti otstarbekas. Tihendamine peaks toimuma eelkõige parkimisplatside ja pruunalade arvelt.  Vajab kaasavat planeerimist ja poliitilist tahet. Sageli kiputakse ehitatud keskkonna tihendamist mõistma nii, et see välistab roheluse ja selle lisandumise. Võtmekoht on selgitada, kuidas mõlemad elemendid saavad ja peavad  eksisteerima võrdväärselt. Ehitatud keskkonna ja kasvatatud keskkonna võrdväärne tähtsus ja tähendus on ka arengustrateegias Tallinn 2035 linnamaastiku valdkonna üks juhtmõtteid  (täpne sõnastus: Haljastus on võrdväärne element linnakeskkonna tehiselementide kõrval).  Haljastus =eraldi infrastruktuuri liik (roheline infrastruktuur - rohetaristu).</t>
  </si>
  <si>
    <t>Ringmajandusega seotud meetmed (RM)</t>
  </si>
  <si>
    <t>RM1</t>
  </si>
  <si>
    <t>Ringlusse sobimatute jäätmete põletamine</t>
  </si>
  <si>
    <t>Ringlusse mittesobivate jäätmete energiakasutus - põletuseks ning energiatootmiseks</t>
  </si>
  <si>
    <t>RM2</t>
  </si>
  <si>
    <t>Ringmajanduse rakendamine ehituses</t>
  </si>
  <si>
    <t>Taaskasutatud materjalide kasutamise võimalust hinnatakse alati hoonete projekteerimisel; arvestatakse nii munitsipaal- kui ka eraisikute poolt ehitatavate majade ja hoonete puhul ning rakendatakse ehituses</t>
  </si>
  <si>
    <t>RM3</t>
  </si>
  <si>
    <t xml:space="preserve">Uute taristuprojektide puhul (tänavad, ratta- ja kõnniteed, pargid jm) taaskasutatud ehitusmaterjalide kasutamine </t>
  </si>
  <si>
    <t>RM4</t>
  </si>
  <si>
    <t>Taaskasutusalade-keskuste loomine (ehitusmaterjalide jaoks)</t>
  </si>
  <si>
    <t>RM5</t>
  </si>
  <si>
    <t>Ülejääkide ja tarvikute süsteemne ladustamine ning kogumine. Infrastruktuuri ehitusest üle jäänud materjalid (äärekivid, sillutiskivid jne) suunatakse otse kasutusse või kogutakse taaskasutuspiirkondadesse. Ladustatud materjalide inventuur ja teave saadaval olevate materjalide kohta arendatakse välja kommunikatsiooni kaudu.</t>
  </si>
  <si>
    <t>Süsinikupüüdmisega seotud meetmed (CCU)</t>
  </si>
  <si>
    <t>CCU1</t>
  </si>
  <si>
    <t>Süsinikupüüdmine (Tallinna tööstuspiirkondadele rahvusvahelises koostöös)</t>
  </si>
  <si>
    <t>Vähendab tööstussektori CO₂ heidet</t>
  </si>
  <si>
    <t>Holland, Rootsi, Taani</t>
  </si>
  <si>
    <t>Meetmete mõju hindamisel käsitletakse CO2 püüdmise võimalikke tegevusi ning variante nii heite kui hinna poolelt ning toome välja riskid. Selgub juba analüüsi enda käigus, kas on põhjendatud tuua meetmetena välja eraldi või lihtsalt kirjeldava lõiguna; see sõltub analüüsist. Küll aga moel või teisel on vajalik süsiniku püüdmise ja kompenseerimise osa käsitleda, sest tegemist on aktuaalse teemaga.</t>
  </si>
  <si>
    <t>CCU2</t>
  </si>
  <si>
    <t>Süsiniku kompenseerimine</t>
  </si>
  <si>
    <t>Kogu "üleliigse"/mittevõimaliku süsiniku hulga kompenseerimine läbi erinevate tegevuste; kindlalt välja töötatud ning kavandatud projektid - koostöö partneritga ning tegevuste vastamine eri kompenseerimisega (offsetting) seotud sertifikaatidele ning EL-i seadusandlusele ja juriidikale.</t>
  </si>
  <si>
    <t>Soomes niimoodi sõnastanud Joensuu, Tampere, Turku; https://eu-mayors.ec.europa.eu/sites/default/files/2023-01/2023_CoMo_CaseStudy_Joensuu_EN.pdf; https://www.tampere.fi/sites/default/files/2025-05/Climate_Neutral_Tampere_2030_Roadmap_2024.pdf</t>
  </si>
  <si>
    <t>CCU3</t>
  </si>
  <si>
    <t>Projektide põhine süsiniku ökoloogiline kompenseerimine</t>
  </si>
  <si>
    <t>Suurte taristu projektide puhul ökoloogilise kompenseerimismehhanismi kasutuselevõtt - projektide puhul, kus pole võimalik lõpuni heidet vähendada - üleliigne heide kompenseerimismehhanisimide kaudu. Kujutavad endast rohevõrgustike loomist, loodusliku mitmekesisuse tagamist, looduslikke lahendusi jne. Kõige viimane lahendus/variant oleks süsiniku kompenseerimine (offsetting).</t>
  </si>
  <si>
    <t xml:space="preserve">Tampere </t>
  </si>
  <si>
    <t>Süsiniku loodusliku sidumisega seotud meetmed (LULUCF) (LU)</t>
  </si>
  <si>
    <t>LU1</t>
  </si>
  <si>
    <t>Metsa- ja looduslike alade säilitamine/pindala suurendamine; suurendatakse puuvõrade katvust avalikel aladel ning detailplaneeringutega hõlmatud aladel. Puude istutamist kavandatakse linna kehtivate planeeringute alusel</t>
  </si>
  <si>
    <t>Rahvusvaheline praktika ja näited; https://www.tampere.fi/sites/default/files/2025-05/Climate_Neutral_Tampere_2030_Roadmap_2024.pdf</t>
  </si>
  <si>
    <t>Hinnatud meetmete MA1…5 juures.</t>
  </si>
  <si>
    <t>LU2</t>
  </si>
  <si>
    <t>Tampere, Rotterdam, Bristol</t>
  </si>
  <si>
    <t>LU3</t>
  </si>
  <si>
    <t>Puude istutamine - langetamine plussis</t>
  </si>
  <si>
    <t>Suurendatakse süsiniku sidumist sobivates piirkondades, nt puude istutamise kaudu. Eesmärk on istutada rohkem puid kui linnamaal langetatakse. Sobivad alad kaardistatakse uute puude istutamise planeerimisel. Luuakse jälgimismeetod.</t>
  </si>
  <si>
    <t xml:space="preserve">Tampere, Pariis https://www.tampere.fi/sites/default/files/2025-05/Climate_Neutral_Tampere_2030_Roadmap_2024.pdf; </t>
  </si>
  <si>
    <t>LU4</t>
  </si>
  <si>
    <t>Süsiniku hulga suurendamine pinnases</t>
  </si>
  <si>
    <t>Tugevdatakse süsiniku salve pinnases, näiteks vältides mulla vahetust ja jättes sügislehed sobivatesse piirkondadesse. Suurendatakse alade arvu, kus selliseid meetmeid saab rakendada.</t>
  </si>
  <si>
    <t>Stockholm, Pariis, Tampere, Helsinki. https://www.tampere.fi/sites/default/files/2025-05/Climate_Neutral_Tampere_2030_Roadmap_2024.pdf</t>
  </si>
  <si>
    <t>Kuna sisendandmeid ei ole piisavalt, ei ole arvutustes käsitletud. Heite vähendamise potentsiaal on tõenäoliselt väga väike.</t>
  </si>
  <si>
    <t>LU5</t>
  </si>
  <si>
    <t>Biotuha kasutamine ja rakendamine</t>
  </si>
  <si>
    <t>Parandatakse olemasolevate puude alusmaterjalide taastamismeetmeid tänavarenoveerimisprojektide raames. Biotuha (biochar) alusmaterjalide kasutamine lisandub piiratud substraadi ja koormustaluvusega substraadis.</t>
  </si>
  <si>
    <t>https://www.tampere.fi/sites/default/files/2025-05/Climate_Neutral_Tampere_2030_Roadmap_2024.pdf</t>
  </si>
  <si>
    <t>LU6</t>
  </si>
  <si>
    <t>Rohealad katustel-seintel</t>
  </si>
  <si>
    <t>Süsiniku sidumine läbi taimkatte; samuti aitab kaasa energitõhususele (kuumasaarte vähendamisele - läbi selle jahutuse vajaduse vähendamisele jne)</t>
  </si>
  <si>
    <t xml:space="preserve">Stockholm https://www.stockholmresilience.org/research/research-news/2023-08-21-working-with-nature-is-essential-for-making-cities-climate-neutral.html?utm_source=chatgpt.com; </t>
  </si>
  <si>
    <t>LU7</t>
  </si>
  <si>
    <t>Parandab elurikkust; väga vähesel määral CO2 sidumine; teadlikkuse tõstmine</t>
  </si>
  <si>
    <t>LU8</t>
  </si>
  <si>
    <t>Rohealade lisamine munitsipaalhoonete hoovidesse; eriti hea oleks koolidesse</t>
  </si>
  <si>
    <t>Rajatakse niidud ja istutatakse puid koos õpilastega. Õpilased õpivad elurikkusest ja linnakeskkonna rohevõrgustiku rollist kliimamuutustega kohanemisel (pedagoogiline eesmärk).</t>
  </si>
  <si>
    <t>Pariis - https://arxiv.org/abs/2408.08886, https://hal.science/hal-04666841v1/document; Helsinki</t>
  </si>
  <si>
    <t>Toetav meede, ei vähenda otseselt heidet.</t>
  </si>
  <si>
    <t>LU9</t>
  </si>
  <si>
    <t>Maakasutuse muutus</t>
  </si>
  <si>
    <t>Olemasolevatel rohealadel uusarenduste veel suurem piiramine (nt Astangu, Paevälja)</t>
  </si>
  <si>
    <t>Londoni näide - linna saab tihendada rohealadele laiendamisega (https://www.cprelondon.org.uk/wp-content/uploads/sites/10/2020/11/SPACEtoBUILDFINALJune2017.pdf) ning ilma rohealade vähendamiseta</t>
  </si>
  <si>
    <t>LU10</t>
  </si>
  <si>
    <t>Transpordi taristu ja ruumiloome</t>
  </si>
  <si>
    <t>Lähtuda ruumiplaneerimisel trammiteede põhivõrgust, sellega seonduvast rattateede ja kõnniteede võrgust ning luua atraktiivne linnaruum; meetme mõte on, et arendada sinna, kus on juba ühistransport ja muu taristu olemas. Seotud ka transpordi meetmetega</t>
  </si>
  <si>
    <t>Eksperdi ettepanek</t>
  </si>
  <si>
    <t>Hinnatud meetmete TR13…TR18 juures.</t>
  </si>
  <si>
    <t>LU11</t>
  </si>
  <si>
    <t>Väo karjääri sulgemine ja asendamine rohealaga (mitte tootmisega); või kaaluda päikesepargi rajamist</t>
  </si>
  <si>
    <t>Ehitusmaavarade Uuringu- ja Kaevandamisalade Korrastamise Käsiraamat (https://kliimaministeerium.ee/sites/default/files/documents/2021-10/Korrastamise%20k%C3%A4siraamat.pdf)</t>
  </si>
  <si>
    <t>LU12</t>
  </si>
  <si>
    <t>Härjapea jõe taastamine/maa peale toomine (kasvõi osaliselt)</t>
  </si>
  <si>
    <t>Aastate jooksul on arutatud teemat, samuti tegeletud asukoha märgistamisega</t>
  </si>
  <si>
    <t>Ei avalda mõju heite vähendamisele.</t>
  </si>
  <si>
    <t>LU13</t>
  </si>
  <si>
    <t>Ajutised maakasutuse muutused</t>
  </si>
  <si>
    <t>Ajutised autovabad tänavad; muud ajutised lahendused, vahe-pargid</t>
  </si>
  <si>
    <t>Montreali suvised autovabad tänavad; autovabade päevade mõjud: https://link.springer.com/article/10.1007/s40572-022-00342-y</t>
  </si>
  <si>
    <t>Hinnatud TR36, TR37, TR44 juures.</t>
  </si>
  <si>
    <t>Teadlikkuse tõstmiseks ette nähtud meetmed (TEA)</t>
  </si>
  <si>
    <t>TEA1</t>
  </si>
  <si>
    <t>Administratiivse võimekuse suurendamine</t>
  </si>
  <si>
    <t>Koolitused, keskkonnaharidusprogrammid, kampaaniad</t>
  </si>
  <si>
    <t>Otseselt kasvuhoonegaaside heidet ei vähenda, mistõttu meetmena loetletud, kuid arvutustes pole käsitletud.</t>
  </si>
  <si>
    <t>TEA2</t>
  </si>
  <si>
    <t>Isikliku seose tekitamine ühiskonnas seoses kliimamuutuste ja heitega</t>
  </si>
  <si>
    <t>Kliimaskoori kaart (Climatescore card):
Kodanike kaasamiseks Tallinnas, päevakud/linnaosade festivalid-päevad jne, kus naabruskondades istutatakse ürte ja lilli ning koolides paigaldatakse energiatarbimise mõõteseadmeid, et suurendada inimeste teadlikkust. Samuti liitumine Climate Campaignersi äpiga, kus tallinlased täidavad CO₂-säästlikke väljakutseid ja saavad preemiaid – näiteks orgaanilisi T-särke, tulevikus potentsiaalse rattaringluse süsteemi puhul tasuta kasutamisõiguste jagamine jne.</t>
  </si>
  <si>
    <t>Lahti (Soome) - https://www.climatescorecard.org/2024/01/lahti-an-eu-leader-in-emissions-reduction-and-citizen-environmental-engagement/#:~:text=To%20increase%20citizen%20involvement%20in,shirts%20and%20free%20bike%20share</t>
  </si>
  <si>
    <t>Luua seos isikliku kogemusega ning seostega KHG ning kliimamuutuste suhtes elanike hulgas.
Otseselt kasvuhoonegaaside heidet ei vähenda, mistõttu meetmena loetletud, kuid arvutustes pole käsitletud.</t>
  </si>
  <si>
    <t>KHG vähenemine aastate lõikes, tCO2</t>
  </si>
  <si>
    <t>Investeering aastas 2026-2050, mln EUR/a</t>
  </si>
  <si>
    <t>sh linna investeering</t>
  </si>
  <si>
    <t>Netokulu aastas 2026-2050, mln EUR/a</t>
  </si>
  <si>
    <t>sh linna kulu</t>
  </si>
  <si>
    <r>
      <t>CO2</t>
    </r>
    <r>
      <rPr>
        <b/>
        <vertAlign val="subscript"/>
        <sz val="10"/>
        <color theme="0"/>
        <rFont val="Aptos Narrow"/>
        <family val="2"/>
        <scheme val="minor"/>
      </rPr>
      <t>eq</t>
    </r>
    <r>
      <rPr>
        <b/>
        <sz val="10"/>
        <color theme="0"/>
        <rFont val="Aptos Narrow"/>
        <family val="2"/>
        <scheme val="minor"/>
      </rPr>
      <t xml:space="preserve"> maksimaalne vähenemine aastas; tonni/a, max</t>
    </r>
  </si>
  <si>
    <t>Kulutõhusus = vältimiskulu, EUR/tCO2</t>
  </si>
  <si>
    <t>Sisendite kvaliteet 
(max=6; min=2)</t>
  </si>
  <si>
    <t>Winsoriseeritud kulutõhusus (CE^W_i)</t>
  </si>
  <si>
    <t>Kulutõhususe pööramine (CE^W_i × –1; suurem väärtus = parem)</t>
  </si>
  <si>
    <t>CO2 z-skoorid (z_CO2,i – CO₂ vähenemise standardiseeritud väärtus (z-skoor))</t>
  </si>
  <si>
    <t>kulutõhususe z-skoor (z_CE,i – pööratud kulutõhususe standardiseeritud väärtus (z-skoor))</t>
  </si>
  <si>
    <r>
      <t xml:space="preserve">Koondskoor (60/40)                          </t>
    </r>
    <r>
      <rPr>
        <sz val="10"/>
        <color theme="0"/>
        <rFont val="Aptos Narrow"/>
        <family val="2"/>
        <scheme val="minor"/>
      </rPr>
      <t>(S_i = 0.6·z_CO2,i + 0.4·z_CE,i – koondskoor (60% CO₂, 40% kulutõhusus))</t>
    </r>
  </si>
  <si>
    <r>
      <t xml:space="preserve">CO2e vähendamise potentsiaali hinnang </t>
    </r>
    <r>
      <rPr>
        <sz val="10"/>
        <color theme="0"/>
        <rFont val="Aptos Narrow"/>
        <family val="2"/>
        <scheme val="minor"/>
      </rPr>
      <t>(mida kõrgem, seda suurem CO2e vähendamise võimekus)</t>
    </r>
  </si>
  <si>
    <r>
      <t xml:space="preserve">Kulutõhususe hinnang </t>
    </r>
    <r>
      <rPr>
        <sz val="10"/>
        <color theme="0"/>
        <rFont val="Aptos Narrow"/>
        <family val="2"/>
        <scheme val="minor"/>
      </rPr>
      <t>(mida kõrgem, seda kulutõhusam)</t>
    </r>
  </si>
  <si>
    <r>
      <t xml:space="preserve">Meetme koondhinnang </t>
    </r>
    <r>
      <rPr>
        <sz val="10"/>
        <color theme="0"/>
        <rFont val="Aptos Narrow"/>
        <family val="2"/>
        <scheme val="minor"/>
      </rPr>
      <t>(KHG vähenemine (60%) + kulutõhusus (40%))</t>
    </r>
  </si>
  <si>
    <t>Meetm. arv</t>
  </si>
  <si>
    <t>HOONED</t>
  </si>
  <si>
    <t>Munitsipaalhoonete energiatõhusus (renoveerimine)</t>
  </si>
  <si>
    <t>HO3,8</t>
  </si>
  <si>
    <t>Munitsipaalhoonete energiatõhusus (päikesepaneelid)</t>
  </si>
  <si>
    <t>HO5-7</t>
  </si>
  <si>
    <t>Munitsipaalhoonete energiatõhusus (energiasäästu meetmed)</t>
  </si>
  <si>
    <t>HO10,13</t>
  </si>
  <si>
    <t>Uuenduslik renoveerimine ja ehitamine (juhised, konsultatsioonid)</t>
  </si>
  <si>
    <t>Uuenduslik renoveerimine ja ehitamine (hoonete renoveerimine)</t>
  </si>
  <si>
    <t>Kaugkütte- ja kaugjahutuse arendamine (võrgu laiendamine)</t>
  </si>
  <si>
    <t>Kaugkütte- ja kaugjahutuse arendamine (puhas kaugküte)</t>
  </si>
  <si>
    <t>TRANSPORT</t>
  </si>
  <si>
    <t>TR1-5</t>
  </si>
  <si>
    <t>Bussi taristu arendamine (liinitöö optimeerimine)</t>
  </si>
  <si>
    <t>Bussi taristu arendamine (heitevaba veerem)</t>
  </si>
  <si>
    <t>TR13-18</t>
  </si>
  <si>
    <t>TR19-21</t>
  </si>
  <si>
    <t>TR22-30</t>
  </si>
  <si>
    <t>TR31-34</t>
  </si>
  <si>
    <t>Jalakäijasõbraliku linna loomine / autostumise vähendamine (sadama liiklus)</t>
  </si>
  <si>
    <t>TR36,37,44</t>
  </si>
  <si>
    <t>Kesklinnas autosõidu piiramine</t>
  </si>
  <si>
    <t>TR38-43</t>
  </si>
  <si>
    <t>Sõidukite heidete vähendamine (linna veerem)</t>
  </si>
  <si>
    <t>Sõidukite heidete vähendamine (laadimistaristu)</t>
  </si>
  <si>
    <t>MUUD VALDKONNAD</t>
  </si>
  <si>
    <t>MA1-5</t>
  </si>
  <si>
    <t>Erinevad rohealade ja haljastusega seotud meetmed</t>
  </si>
  <si>
    <t>RL1-2</t>
  </si>
  <si>
    <t>Ruumiloome - linna tihendamine jm</t>
  </si>
  <si>
    <t>Süsinikupüüdmine (tööstuspiirkondades)</t>
  </si>
  <si>
    <t>KOKKU</t>
  </si>
  <si>
    <t>Maksumus kokku, m€</t>
  </si>
  <si>
    <t>Kokku hooned</t>
  </si>
  <si>
    <t>Kokku transport</t>
  </si>
  <si>
    <t>Heide 2021.a</t>
  </si>
  <si>
    <t>sh heide ilma elektrita</t>
  </si>
  <si>
    <t>Meetmetega vähenev (2050a)</t>
  </si>
  <si>
    <t>Katmata heide</t>
  </si>
  <si>
    <t>sh elektri heide</t>
  </si>
  <si>
    <t>Selgitused</t>
  </si>
  <si>
    <t>Numbrilised piirid</t>
  </si>
  <si>
    <t>Hooned</t>
  </si>
  <si>
    <t>5% piir</t>
  </si>
  <si>
    <t>Kohaliku omavalitsuse hooned</t>
  </si>
  <si>
    <t>95% piir</t>
  </si>
  <si>
    <t>Muud hooned</t>
  </si>
  <si>
    <t>Osakaal CO2</t>
  </si>
  <si>
    <t>Transport</t>
  </si>
  <si>
    <t>Osakaal kulutõhusus</t>
  </si>
  <si>
    <t>Kohaliku omavalitsuse sõidukid</t>
  </si>
  <si>
    <t>Koondskoori standarhälve</t>
  </si>
  <si>
    <t>Ühistransport</t>
  </si>
  <si>
    <t>Era- ja äritransport</t>
  </si>
  <si>
    <t>% piirid</t>
  </si>
  <si>
    <t>Tööstus</t>
  </si>
  <si>
    <t>90-100</t>
  </si>
  <si>
    <t>Väga Kõrge</t>
  </si>
  <si>
    <t>Muud meetmed</t>
  </si>
  <si>
    <t>70-90</t>
  </si>
  <si>
    <t>Kõrge</t>
  </si>
  <si>
    <t>30-70</t>
  </si>
  <si>
    <t>Keskmine</t>
  </si>
  <si>
    <t>10-30</t>
  </si>
  <si>
    <t>Nõrk</t>
  </si>
  <si>
    <t>0-10</t>
  </si>
  <si>
    <t>Väga nõrk</t>
  </si>
  <si>
    <t>INFOKS: CO2 2021.a inventuuris</t>
  </si>
  <si>
    <t>tCO2eq</t>
  </si>
  <si>
    <t>Elekter</t>
  </si>
  <si>
    <t>Maagaas</t>
  </si>
  <si>
    <t>Kaugküte</t>
  </si>
  <si>
    <t>Biokütus</t>
  </si>
  <si>
    <t>Muud fossiil</t>
  </si>
  <si>
    <t>va elekter</t>
  </si>
  <si>
    <t>Diislikütus</t>
  </si>
  <si>
    <t>Bensiin</t>
  </si>
  <si>
    <t>Maagaas, LPG</t>
  </si>
  <si>
    <t>Biometaan</t>
  </si>
  <si>
    <t>Kokku transp.</t>
  </si>
  <si>
    <t>sh elekter</t>
  </si>
  <si>
    <t>muu kütus</t>
  </si>
  <si>
    <t>ÜLDINE</t>
  </si>
  <si>
    <t>TALLINNA KOONDHEIDE (2007, 2021)</t>
  </si>
  <si>
    <t>Heitkogused, t CO₂ ekv</t>
  </si>
  <si>
    <t>Muutus</t>
  </si>
  <si>
    <t>Osakaal</t>
  </si>
  <si>
    <t>Elektri heide 2021</t>
  </si>
  <si>
    <t>GWh</t>
  </si>
  <si>
    <t>tCO2 e</t>
  </si>
  <si>
    <t>t/MWh</t>
  </si>
  <si>
    <t>Äri/avalikud hooned</t>
  </si>
  <si>
    <t>Kodumajapidamised</t>
  </si>
  <si>
    <t>AFLOU</t>
  </si>
  <si>
    <t>Jäätmed</t>
  </si>
  <si>
    <t>ALLIKAS: Tallinna linna kasvuhoonegaaside inventuur 2021. a kohta</t>
  </si>
  <si>
    <t>HOONETE ENERGIATARBIMINE, HEIDE JA ERIHEITED - TALLINN</t>
  </si>
  <si>
    <r>
      <rPr>
        <b/>
        <i/>
        <u/>
        <sz val="11"/>
        <rFont val="Aptos Narrow"/>
        <family val="2"/>
        <scheme val="minor"/>
      </rPr>
      <t>KOV</t>
    </r>
    <r>
      <rPr>
        <b/>
        <i/>
        <sz val="11"/>
        <rFont val="Aptos Narrow"/>
        <family val="2"/>
        <scheme val="minor"/>
      </rPr>
      <t xml:space="preserve"> hoonete energiatarbimine 2021, GWh</t>
    </r>
  </si>
  <si>
    <t>Asutuse grupp</t>
  </si>
  <si>
    <t>Amet</t>
  </si>
  <si>
    <t>Hallatav (kool või muu haridus)</t>
  </si>
  <si>
    <t>Hallatav (lasteaed)</t>
  </si>
  <si>
    <t>Hallatav asutus</t>
  </si>
  <si>
    <t>LOV</t>
  </si>
  <si>
    <t>Tallinna linna taristu</t>
  </si>
  <si>
    <t>-</t>
  </si>
  <si>
    <t>Kokku</t>
  </si>
  <si>
    <t>osakaal</t>
  </si>
  <si>
    <t>Eriheide (tCO2e/MWh)</t>
  </si>
  <si>
    <t>Heide (tCO2e)</t>
  </si>
  <si>
    <t>ALLIKAS: Tallinna linna kasvuhoonegaaside inventuur 2021. a kohta; lk7</t>
  </si>
  <si>
    <r>
      <rPr>
        <b/>
        <i/>
        <u/>
        <sz val="11"/>
        <rFont val="Aptos Narrow"/>
        <family val="2"/>
        <scheme val="minor"/>
      </rPr>
      <t>Äri ja avaliku</t>
    </r>
    <r>
      <rPr>
        <b/>
        <i/>
        <sz val="11"/>
        <rFont val="Aptos Narrow"/>
        <family val="2"/>
        <scheme val="minor"/>
      </rPr>
      <t xml:space="preserve"> sektori (va KOV) hoonete energiatarbimine ja heide</t>
    </r>
  </si>
  <si>
    <t>Energiakogus (GWh)</t>
  </si>
  <si>
    <r>
      <t>Eriheide (tCO</t>
    </r>
    <r>
      <rPr>
        <b/>
        <sz val="9"/>
        <rFont val="Calibri"/>
        <family val="1"/>
        <charset val="204"/>
      </rPr>
      <t>2/MWh)</t>
    </r>
  </si>
  <si>
    <r>
      <t>Heide (tCO</t>
    </r>
    <r>
      <rPr>
        <b/>
        <sz val="7"/>
        <rFont val="Calibri"/>
        <family val="1"/>
        <charset val="204"/>
      </rPr>
      <t xml:space="preserve">2 </t>
    </r>
    <r>
      <rPr>
        <b/>
        <sz val="11"/>
        <rFont val="Calibri"/>
        <family val="1"/>
        <charset val="204"/>
      </rPr>
      <t>e)</t>
    </r>
  </si>
  <si>
    <t>Soojus</t>
  </si>
  <si>
    <t>Soojuse tarve</t>
  </si>
  <si>
    <t>MWh/m2/a</t>
  </si>
  <si>
    <t>SNP, m2</t>
  </si>
  <si>
    <t>kaugküttel</t>
  </si>
  <si>
    <t xml:space="preserve">SNP, m2 </t>
  </si>
  <si>
    <t>kokku (Ehitisregister)</t>
  </si>
  <si>
    <t>Kivisüsi</t>
  </si>
  <si>
    <t>Kaugkütte osakaal</t>
  </si>
  <si>
    <t>Turvas</t>
  </si>
  <si>
    <t>LPG</t>
  </si>
  <si>
    <t>Raske kütteõli</t>
  </si>
  <si>
    <t>Kerge kütteõli</t>
  </si>
  <si>
    <t>Tahke biokütus</t>
  </si>
  <si>
    <t>Biogaas</t>
  </si>
  <si>
    <t>ALLIKAS: Tallinna linna kasvuhoonegaaside inventuur 2021. a kohta; lk8</t>
  </si>
  <si>
    <r>
      <rPr>
        <b/>
        <i/>
        <u/>
        <sz val="11"/>
        <rFont val="Aptos Narrow"/>
        <family val="2"/>
        <scheme val="minor"/>
      </rPr>
      <t>Kodumajapidamiste</t>
    </r>
    <r>
      <rPr>
        <b/>
        <i/>
        <sz val="11"/>
        <rFont val="Aptos Narrow"/>
        <family val="2"/>
        <scheme val="minor"/>
      </rPr>
      <t xml:space="preserve"> energiatarbimine ja heide</t>
    </r>
  </si>
  <si>
    <t>Abiarvutused</t>
  </si>
  <si>
    <r>
      <t>Eriheide (tCO</t>
    </r>
    <r>
      <rPr>
        <b/>
        <sz val="10"/>
        <rFont val="Calibri"/>
        <family val="1"/>
        <charset val="204"/>
      </rPr>
      <t>2/MWh)</t>
    </r>
  </si>
  <si>
    <t>€/m2/a</t>
  </si>
  <si>
    <t>SNP</t>
  </si>
  <si>
    <t>m2 (kaugküttega hooned)</t>
  </si>
  <si>
    <t>SNP (kokku)</t>
  </si>
  <si>
    <t>m2 (elamud kokku)</t>
  </si>
  <si>
    <t>Väikeelamud</t>
  </si>
  <si>
    <t>m2</t>
  </si>
  <si>
    <t>https://livekluster.ehr.ee/ui/ehr/v1/infoportal/buildingsummary</t>
  </si>
  <si>
    <t>kaugküttes</t>
  </si>
  <si>
    <t>eelda</t>
  </si>
  <si>
    <t>Korterelamud</t>
  </si>
  <si>
    <t>sh kaugküttes</t>
  </si>
  <si>
    <t>ALLIKAS: Tallinna linna kasvuhoonegaaside inventuur 2021. a kohta; lk9-10</t>
  </si>
  <si>
    <t>TALLINNA KAUG- JA LOKAALKÜTTE ERIHEIDE</t>
  </si>
  <si>
    <t>NB! Sõltub kütuste asendamise graafikutest - Utilitas!</t>
  </si>
  <si>
    <t>tCO2/MWh</t>
  </si>
  <si>
    <t>Lokaalküte (maagaas &gt;&gt; biogaas, hake, elekter)</t>
  </si>
  <si>
    <t>ALLIKAS: Tallinna linna kasvuhoonegaaside inventuur 2021. a kohta; lk6; (Utilitas)</t>
  </si>
  <si>
    <t>vt tööleht SM2</t>
  </si>
  <si>
    <t>TALLINNA KOV HOONETE PINNAD JA ENERGIATÕHUSUS</t>
  </si>
  <si>
    <t>Tallinna KOV  andmed</t>
  </si>
  <si>
    <t>KOV Eesti</t>
  </si>
  <si>
    <t>Hoone kasutus</t>
  </si>
  <si>
    <t>Arv</t>
  </si>
  <si>
    <t>Netopind, m2</t>
  </si>
  <si>
    <t>Vähemalt C-klass</t>
  </si>
  <si>
    <t>Heas korras, 
2020</t>
  </si>
  <si>
    <t>Heas korras, 2024</t>
  </si>
  <si>
    <t>BÜROO</t>
  </si>
  <si>
    <t>MAJUTUS</t>
  </si>
  <si>
    <t>KAUBANDUS, TEENINDUS, KULTUUR</t>
  </si>
  <si>
    <t>HARIDUS, TEADUS</t>
  </si>
  <si>
    <t>TERVISHOID</t>
  </si>
  <si>
    <t>MUUD HOONED</t>
  </si>
  <si>
    <t>KOKKU/KESKMINE</t>
  </si>
  <si>
    <t>Tallinna andmed: Päringu vastus</t>
  </si>
  <si>
    <t>2020a.: Hoonete rekonstrueerimise pikaajaline strateegia, 2020, TTÜ</t>
  </si>
  <si>
    <t>2024.a.: Kohalike omavalitsuste hoonete energiatõhususe ülevaade, 2024, TTJA</t>
  </si>
  <si>
    <t>Minuomavalitsus andmed</t>
  </si>
  <si>
    <t>Tallinn</t>
  </si>
  <si>
    <t>Eesti</t>
  </si>
  <si>
    <t>Hoonete seisukorra indeks</t>
  </si>
  <si>
    <t>Vähemalt C-klassiga hoonete osakaal</t>
  </si>
  <si>
    <t>Pindala</t>
  </si>
  <si>
    <t>https://minuomavalitsus.ee/muud-toolauad/kinnisvara-ulevaade</t>
  </si>
  <si>
    <t>TALLINNA KORTERELAMUTE ENERGIAKLASSID</t>
  </si>
  <si>
    <t>Tallinna kahe või mitme korteriga elamute energiamärgised</t>
  </si>
  <si>
    <t>Energiamärgise kehtivuse algus</t>
  </si>
  <si>
    <t>A</t>
  </si>
  <si>
    <t>B</t>
  </si>
  <si>
    <t>C</t>
  </si>
  <si>
    <t>D</t>
  </si>
  <si>
    <t>E</t>
  </si>
  <si>
    <t>F</t>
  </si>
  <si>
    <t>G</t>
  </si>
  <si>
    <t>H</t>
  </si>
  <si>
    <t>Tuletatud SNP, m2</t>
  </si>
  <si>
    <t>Tallinna kahe või mitme korteriga elamu suletud netopind, m2</t>
  </si>
  <si>
    <t>Esmane kasutus</t>
  </si>
  <si>
    <t>Keskmine m2</t>
  </si>
  <si>
    <t>Enne 1919</t>
  </si>
  <si>
    <t>1919-1945</t>
  </si>
  <si>
    <t>1946-1960</t>
  </si>
  <si>
    <t>1961-1970</t>
  </si>
  <si>
    <t>1971-1980</t>
  </si>
  <si>
    <t>1981-1990</t>
  </si>
  <si>
    <t>1991-2000</t>
  </si>
  <si>
    <t>2001-2010</t>
  </si>
  <si>
    <t>2011-2020</t>
  </si>
  <si>
    <t>2021-2030</t>
  </si>
  <si>
    <t>Esmane kasutus täitmata</t>
  </si>
  <si>
    <t>Allikas: Ehitisregister; https://livekluster.ehr.ee/ui/ehr/v1/infoportal/buildingsummary</t>
  </si>
  <si>
    <t>RENOVEERIMISE MÕJU HOONETE ENERGIAKASUTUSELE JA MAKSUMUS</t>
  </si>
  <si>
    <t>Tabel 20. Energiakasutuse muutus.</t>
  </si>
  <si>
    <t>ENNE</t>
  </si>
  <si>
    <t>PÄRAST</t>
  </si>
  <si>
    <t>Tõhus
kaugküte</t>
  </si>
  <si>
    <t>Enne rekonstrueerimist, kWh/(m2a)</t>
  </si>
  <si>
    <t>Peale rekonstrueerimist, kWh/(m2a)</t>
  </si>
  <si>
    <t>Vähenemine, %</t>
  </si>
  <si>
    <t>KEK</t>
  </si>
  <si>
    <t>Üksikelamu*</t>
  </si>
  <si>
    <t>Korterelamu</t>
  </si>
  <si>
    <t>Büroo</t>
  </si>
  <si>
    <t>Kaubandus</t>
  </si>
  <si>
    <t>Haridus</t>
  </si>
  <si>
    <t>Allikas: Hoonete rekonstrueerimise pikaajaline strateegia, 2020, TTÜ, lk 45</t>
  </si>
  <si>
    <r>
      <t>Soojuse,  elektri  ja  kaalutud  energiaerikasutuse  (mõõdetud tarbimisandmetel põhinev nn „</t>
    </r>
    <r>
      <rPr>
        <b/>
        <sz val="10"/>
        <color theme="1"/>
        <rFont val="Aptos Narrow"/>
        <family val="2"/>
        <scheme val="minor"/>
      </rPr>
      <t>KEK</t>
    </r>
    <r>
      <rPr>
        <sz val="10"/>
        <color theme="1"/>
        <rFont val="Aptos Narrow"/>
        <family val="2"/>
        <scheme val="minor"/>
      </rPr>
      <t>“ märgis) väärtused on toodud allpool olevas tabelis. Väärtused on  antud kahe soojusallikaga: tõhus kaugküte (kaalumistegur 0,65) ja maagaas (kaalumistegur 1,0). 
Elektri kaalumistegur on 2,0.</t>
    </r>
  </si>
  <si>
    <t>IA12: REMONDI- JA REKONSTRUEERIMISTÖÖDE HINNAINDEKSI MUUTUS VÕRRELDES EELMISE AASTAGA</t>
  </si>
  <si>
    <t xml:space="preserve">Indeks </t>
  </si>
  <si>
    <t>Maksumus</t>
  </si>
  <si>
    <t>%</t>
  </si>
  <si>
    <t>(2017=1,00)</t>
  </si>
  <si>
    <t>€/m2</t>
  </si>
  <si>
    <t>2017</t>
  </si>
  <si>
    <t>2018</t>
  </si>
  <si>
    <t>2019</t>
  </si>
  <si>
    <t>2020</t>
  </si>
  <si>
    <t>2021</t>
  </si>
  <si>
    <t>2022</t>
  </si>
  <si>
    <t>2023</t>
  </si>
  <si>
    <t>2024</t>
  </si>
  <si>
    <t>TRANSPORT - ENERGIATARBIMINE JA HEIDE</t>
  </si>
  <si>
    <t>Munitsipaaltransport</t>
  </si>
  <si>
    <t>Energiakogus (MWh)</t>
  </si>
  <si>
    <r>
      <t>Eriheide (tCO</t>
    </r>
    <r>
      <rPr>
        <b/>
        <sz val="9"/>
        <color indexed="8"/>
        <rFont val="Calibri"/>
        <family val="1"/>
        <charset val="204"/>
      </rPr>
      <t>2/MWh)</t>
    </r>
  </si>
  <si>
    <r>
      <t>Heide (tCO</t>
    </r>
    <r>
      <rPr>
        <b/>
        <sz val="7"/>
        <color indexed="8"/>
        <rFont val="Calibri"/>
        <family val="1"/>
        <charset val="204"/>
      </rPr>
      <t xml:space="preserve">2 </t>
    </r>
    <r>
      <rPr>
        <b/>
        <sz val="11"/>
        <color indexed="8"/>
        <rFont val="Calibri"/>
        <family val="1"/>
        <charset val="204"/>
      </rPr>
      <t>e)</t>
    </r>
  </si>
  <si>
    <t>tuh liitrit</t>
  </si>
  <si>
    <t>l/100km</t>
  </si>
  <si>
    <t>tuh km</t>
  </si>
  <si>
    <t>Sõidukit tk</t>
  </si>
  <si>
    <t>MWh</t>
  </si>
  <si>
    <t>tCO2</t>
  </si>
  <si>
    <t>Diislikütus (maanteetransport)</t>
  </si>
  <si>
    <t>Diislikütus (eritehnika)</t>
  </si>
  <si>
    <t>Bensiin (maanteetransport)</t>
  </si>
  <si>
    <t>LPG/maagaas</t>
  </si>
  <si>
    <t>Bensiin (eritehnika)</t>
  </si>
  <si>
    <t>ALLIKAS: Tallinna linna kasvuhoonegaaside inventuur 2021. a kohta; lk11</t>
  </si>
  <si>
    <t>Läbisõit aastas, km:</t>
  </si>
  <si>
    <r>
      <t>Eriheide (tCO</t>
    </r>
    <r>
      <rPr>
        <b/>
        <sz val="10"/>
        <color indexed="8"/>
        <rFont val="Calibri"/>
        <family val="1"/>
        <charset val="204"/>
      </rPr>
      <t>2/MWh)</t>
    </r>
  </si>
  <si>
    <t>Elekter (trollid ja bussid)</t>
  </si>
  <si>
    <t>Elekter (trammid)</t>
  </si>
  <si>
    <t>ALLIKAS: Tallinna linna kasvuhoonegaaside inventuur 2021. a kohta; lk11-12</t>
  </si>
  <si>
    <t>Eratransport</t>
  </si>
  <si>
    <t>TRANSPORT - SÕIDUAUTODE KÜTUSED JA ERIHEIDE</t>
  </si>
  <si>
    <t xml:space="preserve">~2035 </t>
  </si>
  <si>
    <t xml:space="preserve">~2050 </t>
  </si>
  <si>
    <t>Sisepõlemismootor</t>
  </si>
  <si>
    <t>~20-30%</t>
  </si>
  <si>
    <t>~5-15%</t>
  </si>
  <si>
    <t>Elekter / Veisnik</t>
  </si>
  <si>
    <t>~10-15%</t>
  </si>
  <si>
    <t>~5-10%</t>
  </si>
  <si>
    <t>Hübriid - mitte pisitk</t>
  </si>
  <si>
    <t>Hübriid - pistik</t>
  </si>
  <si>
    <t>50-65%</t>
  </si>
  <si>
    <t>70-90%</t>
  </si>
  <si>
    <t>Allikas: IEA energy Outlook 2024. https://www.iea.org/reports/global-ev-outlook-2024/outlook-for-electric-mobility?utm_source=chatgpt.com</t>
  </si>
  <si>
    <t>Sõiduautode osakaalud läbisõidus</t>
  </si>
  <si>
    <t>Sõidukite arv, kütusekulu ja emissioon</t>
  </si>
  <si>
    <t>Harjumaa keskmine</t>
  </si>
  <si>
    <t>Tallinna keskmine</t>
  </si>
  <si>
    <t>Autode arv harjumaal</t>
  </si>
  <si>
    <t>gCO2/km</t>
  </si>
  <si>
    <t>kWh/100km</t>
  </si>
  <si>
    <t>liitrid</t>
  </si>
  <si>
    <t>kWh</t>
  </si>
  <si>
    <t>https://public.tableau.com/app/profile/transpordiamet/viz/Registrisaastalpuseisugaalates2011/Nitajadsidukitevanuselikes</t>
  </si>
  <si>
    <t>Bensiini ja diisli kulu kulu, l/100km kohta</t>
  </si>
  <si>
    <t>Kütusekulu muutus (a)</t>
  </si>
  <si>
    <t xml:space="preserve">Sisepõlemismootor </t>
  </si>
  <si>
    <t>Kütusekulu, kWh/100km kohta</t>
  </si>
  <si>
    <t>Emissioon, gCO2/km</t>
  </si>
  <si>
    <t>Emissiooni muutus (a)</t>
  </si>
  <si>
    <t>KESKMISED NÄITAJAD (SÕIDUKIPARGI KESKMINE)</t>
  </si>
  <si>
    <t>Autopargi kaalutud bensiini ja diisli kulu</t>
  </si>
  <si>
    <t>Elektrikulu</t>
  </si>
  <si>
    <t>Emissioon</t>
  </si>
  <si>
    <t>Autode läbisõit</t>
  </si>
  <si>
    <t>mln km</t>
  </si>
  <si>
    <t>sh sõiduautod</t>
  </si>
  <si>
    <t>CO2 emissioon</t>
  </si>
  <si>
    <t>tuh t</t>
  </si>
  <si>
    <t>Emissiooni (gCO2/km) korrektuur</t>
  </si>
  <si>
    <t>TALLINN - TALLINNA ÜHISTRANSPORT</t>
  </si>
  <si>
    <t>Arv, tk</t>
  </si>
  <si>
    <t>Liine, tk</t>
  </si>
  <si>
    <t>Sõitude arv, mln tk</t>
  </si>
  <si>
    <t>Läbisõit, 
mln sõiduk-km</t>
  </si>
  <si>
    <t>Liinide pikkus, km</t>
  </si>
  <si>
    <t>Keskmine liin, km</t>
  </si>
  <si>
    <t>Liinibussid + trollibuss</t>
  </si>
  <si>
    <t>Tramm</t>
  </si>
  <si>
    <t>Allikas: TLT AS AA2024</t>
  </si>
  <si>
    <t>alliaks: Tln arvudes 2022 (2020.a andmed)</t>
  </si>
  <si>
    <t>AS Tallinna Linnatransport kulud, mln €</t>
  </si>
  <si>
    <t>Kulu liini-km kohta, €/km</t>
  </si>
  <si>
    <t>sh muutuvkulu</t>
  </si>
  <si>
    <t>TRANSPORT - LIIKUVUS</t>
  </si>
  <si>
    <t>Liikumisviisid Tallinnas, 2021</t>
  </si>
  <si>
    <t>Hõivatute tööle liikumise viisid</t>
  </si>
  <si>
    <t>2021 tegelik</t>
  </si>
  <si>
    <t>2050 meetmetega</t>
  </si>
  <si>
    <t>sh tööle liikumine 2021</t>
  </si>
  <si>
    <t>Liikumiste arv, mln</t>
  </si>
  <si>
    <t>Keskmine teekond, km</t>
  </si>
  <si>
    <t>Liikumiste pikkus, mkm</t>
  </si>
  <si>
    <t>Sõiduauto</t>
  </si>
  <si>
    <t>Ühissõiduk</t>
  </si>
  <si>
    <t>Jalgsi</t>
  </si>
  <si>
    <t>Tasakaaluliikurid (jalgrattad, tõukerattad jne)</t>
  </si>
  <si>
    <t>Jalgratas, …</t>
  </si>
  <si>
    <t>Töötab kodus</t>
  </si>
  <si>
    <t>Allikas: https://public.tableau.com/app/profile/transpordiamet/viz/Liikuvusuuringpevikud/1_1Sissejuhatus</t>
  </si>
  <si>
    <t>https://public.tableau.com/app/profile/transpordiamet/viz/LiikuvusAasta_16383481987800/Liikuvuseindikaatorid</t>
  </si>
  <si>
    <t>Liikumiste distants kokku, mln km</t>
  </si>
  <si>
    <t>Jalgratas, tõuks jm</t>
  </si>
  <si>
    <t>Liikumiste arv, mln tk</t>
  </si>
  <si>
    <t>Osakaalud liikumiste arvus</t>
  </si>
  <si>
    <t>MUUD SEKTORID: TÖÖSTUS, JÄÄTMED, LULUCF</t>
  </si>
  <si>
    <t>TÖÖSTUS, JÄÄTMED, LULUCF</t>
  </si>
  <si>
    <t>peaks olema maagaas, mida kasutatakse ka tööstusliku soojuse tootmiseks, mitte ainult</t>
  </si>
  <si>
    <t>ALLIKAS: Tallinna linna kasvuhoonegaaside inventuur 2021. a kohta; lk10</t>
  </si>
  <si>
    <t>Jäätmesektor</t>
  </si>
  <si>
    <r>
      <t>Korrigeeritud väärtused, t CO</t>
    </r>
    <r>
      <rPr>
        <sz val="7"/>
        <rFont val="Calibri"/>
        <family val="1"/>
        <charset val="204"/>
      </rPr>
      <t xml:space="preserve">2  </t>
    </r>
    <r>
      <rPr>
        <sz val="11"/>
        <rFont val="Calibri"/>
        <family val="1"/>
        <charset val="204"/>
      </rPr>
      <t>ekv</t>
    </r>
  </si>
  <si>
    <t>ALLIKAS: Tallinna linna kasvuhoonegaaside inventuur 2021. a kohta; lk21</t>
  </si>
  <si>
    <t>AFLOU (LULUCF)</t>
  </si>
  <si>
    <t>Maakategooria</t>
  </si>
  <si>
    <t>Pindala km2</t>
  </si>
  <si>
    <t>Metsamaa</t>
  </si>
  <si>
    <t>Rohumaa</t>
  </si>
  <si>
    <t>Põllumaa</t>
  </si>
  <si>
    <t>Märgalad</t>
  </si>
  <si>
    <t>Asulamaa</t>
  </si>
  <si>
    <t>Muu maa</t>
  </si>
  <si>
    <t>Tallinna pindala</t>
  </si>
  <si>
    <t>ALLIKAS: Tallinna linna kasvuhoonegaaside inventuur 2021. a kohta; lk16</t>
  </si>
  <si>
    <t>AFLOU KHG heitkogused</t>
  </si>
  <si>
    <t>KHG heide, tCO2e</t>
  </si>
  <si>
    <t>Teisendatud   CO2-ks ning 2019  aastal  ekstapoleeritud riikliku aruande järgi</t>
  </si>
  <si>
    <t>ALLIKAS: Tallinna linna kasvuhoonegaaside inventuur 2021. a kohta; lk15-16</t>
  </si>
  <si>
    <t>ELEKTRIENERGIA TALLINNAS - TARBIMINE, TOOTMINE, HEIDE</t>
  </si>
  <si>
    <t>Tallinna elektrienergia tarbimine ja tootmine 2021</t>
  </si>
  <si>
    <t>Oksakaal tarbimisest</t>
  </si>
  <si>
    <t>t CO2  ekv/MWh</t>
  </si>
  <si>
    <t>Heide, t CO2</t>
  </si>
  <si>
    <t>Toodetud päikeseenergia</t>
  </si>
  <si>
    <t>Päritolutunnistustega ostetud</t>
  </si>
  <si>
    <t>Toodetud biomassist</t>
  </si>
  <si>
    <t>"Sisseostetud" elektrienergia kogus</t>
  </si>
  <si>
    <t>Elektrienergia osa, mida ei kaeta linna territooriumil toimunud omatootmisega</t>
  </si>
  <si>
    <t>Tarbimine kokku</t>
  </si>
  <si>
    <t>ALLIKAS: Tallinna linna kasvuhoonegaaside inventuur 2021. a kohta; lk6</t>
  </si>
  <si>
    <t>Segajääk (Elering)</t>
  </si>
  <si>
    <t>Eriheide</t>
  </si>
  <si>
    <t>Energialiigi osakaal segajäägis</t>
  </si>
  <si>
    <t>CO2t/MWh</t>
  </si>
  <si>
    <t>Taastuv</t>
  </si>
  <si>
    <t>Fossiilne</t>
  </si>
  <si>
    <t>Tuuma</t>
  </si>
  <si>
    <t>ALLIKAS: https://www.elering.ee/segajaak</t>
  </si>
  <si>
    <t>Segajäägi eriheite prognoos</t>
  </si>
  <si>
    <t>TOETAVAD ANDMED</t>
  </si>
  <si>
    <t>HOONETE  ENERGIAKLASSID - NORM</t>
  </si>
  <si>
    <t xml:space="preserve">Kaalutud energiaerikasutuse (KEK) klassi skaala </t>
  </si>
  <si>
    <t>Väikeelamu &lt;120m2</t>
  </si>
  <si>
    <t>Väikeelamu 120-220m2</t>
  </si>
  <si>
    <t>Väikeelamu &gt;220m2</t>
  </si>
  <si>
    <t>Kontorihoone</t>
  </si>
  <si>
    <t>Majutushoone</t>
  </si>
  <si>
    <t>Ärihoone</t>
  </si>
  <si>
    <t>Avalik hoone</t>
  </si>
  <si>
    <t>Kaubandushoone</t>
  </si>
  <si>
    <t>Haridus, lasteaed</t>
  </si>
  <si>
    <t>Tervishoid</t>
  </si>
  <si>
    <t>Laohoone</t>
  </si>
  <si>
    <t>Tööstushoone</t>
  </si>
  <si>
    <t xml:space="preserve"> kWh/m² (a)</t>
  </si>
  <si>
    <t>min</t>
  </si>
  <si>
    <t>max</t>
  </si>
  <si>
    <r>
      <t>A-klass</t>
    </r>
    <r>
      <rPr>
        <sz val="11"/>
        <rFont val="Aptos Narrow"/>
        <family val="2"/>
        <scheme val="minor"/>
      </rPr>
      <t>:</t>
    </r>
  </si>
  <si>
    <t>B-klass:</t>
  </si>
  <si>
    <t>C-klass:</t>
  </si>
  <si>
    <t>D-klass:</t>
  </si>
  <si>
    <t>E-klass:</t>
  </si>
  <si>
    <t>F-klass:</t>
  </si>
  <si>
    <t>G-klass:</t>
  </si>
  <si>
    <t>Allikas: chrome-extension://efaidnbmnnnibpcajpcglclefindmkaj/https://www.riigiteataja.ee/aktilisa/1080/5202/5002/KLIM_m22_lisa.pdf</t>
  </si>
  <si>
    <t>Sooja tarbevee erikulu ja netoenergiavajadus köetava pinna ruutmeetri kohta</t>
  </si>
  <si>
    <t>Hoone kasutusotstarve</t>
  </si>
  <si>
    <t>Sooja vee erikulu</t>
  </si>
  <si>
    <t>Netoenergiavajadus</t>
  </si>
  <si>
    <t>l/(m²·a)</t>
  </si>
  <si>
    <t>kWh/(m²·a)</t>
  </si>
  <si>
    <t>Väikeelamu</t>
  </si>
  <si>
    <t>Büroohoone, raamatukogu ja teadushoone</t>
  </si>
  <si>
    <t>Kaubandushoone ja terminal</t>
  </si>
  <si>
    <t>Toitlustus- ja teenindushoone</t>
  </si>
  <si>
    <t>Haridushoone (v.a koolieelne lasteasutus)</t>
  </si>
  <si>
    <t>Koolieelne lasteasutus</t>
  </si>
  <si>
    <t>Tervishoiuhoone</t>
  </si>
  <si>
    <t>Allikas: Hoonete energiatõhususe arvutamise metoodika</t>
  </si>
  <si>
    <t>Energiakandjate kaalumistegurid on järgmised:</t>
  </si>
  <si>
    <t>  1) taastuvtoormel põhinev kütus, puit ja puidupõhine kütus ning muu biokütus, välja arvatud turvas ja turbabrikett </t>
  </si>
  <si>
    <t xml:space="preserve">  2) kaugküte </t>
  </si>
  <si>
    <t>  3) tõhus kaugküte</t>
  </si>
  <si>
    <t>  4) kaugjahutus</t>
  </si>
  <si>
    <t>  5) tõhus kaugjahutus</t>
  </si>
  <si>
    <t xml:space="preserve">  6) vedelkütus, kütteõli ja vedelgaas </t>
  </si>
  <si>
    <t xml:space="preserve">  7) maagaas </t>
  </si>
  <si>
    <t xml:space="preserve">  8) tahke fossiilkütus </t>
  </si>
  <si>
    <t xml:space="preserve">  9) turvas ja turbabrikett </t>
  </si>
  <si>
    <t xml:space="preserve">  10) elekter </t>
  </si>
  <si>
    <t>https://www.riigiteataja.ee/akt/113122018014?leiaKehtiv</t>
  </si>
  <si>
    <t>KÜTUSTE ERIHEITED JA KÜTTEVÄÄRTUSED</t>
  </si>
  <si>
    <t>t CO2 ekv/MWh</t>
  </si>
  <si>
    <t>ERIHEIDE</t>
  </si>
  <si>
    <t>KÜTTEVÄÄRTUS</t>
  </si>
  <si>
    <t>Kütus</t>
  </si>
  <si>
    <t>tCO2e/MWh</t>
  </si>
  <si>
    <t>tCO2e/000'l</t>
  </si>
  <si>
    <t>MWh/ühik</t>
  </si>
  <si>
    <t>Ühik</t>
  </si>
  <si>
    <t>000m3</t>
  </si>
  <si>
    <t>t</t>
  </si>
  <si>
    <t>000l</t>
  </si>
  <si>
    <t>Vedel biokütus</t>
  </si>
  <si>
    <t>Muu fossiilne kütus (turvas)</t>
  </si>
  <si>
    <t>Muu biomass (hakkepuit)</t>
  </si>
  <si>
    <t>000m3 (puiste)</t>
  </si>
  <si>
    <t>ALLIKAS: Tallinna linna kasvuhoonegaaside inventuur 2021. a kohta; lk5</t>
  </si>
  <si>
    <t>&lt;-MEETMETE NIMEKIRI</t>
  </si>
  <si>
    <t>EELDUSED / SISENDID</t>
  </si>
  <si>
    <t>Meetme rakendamise perioodi algus</t>
  </si>
  <si>
    <t>a</t>
  </si>
  <si>
    <t>Meetme rakendamise perioodi lõpp</t>
  </si>
  <si>
    <t>Rakendamise aastaid</t>
  </si>
  <si>
    <t>Renoveerimise mõju energiatarbimisele</t>
  </si>
  <si>
    <t>C en. klass ja</t>
  </si>
  <si>
    <t>Vajab</t>
  </si>
  <si>
    <t>Kaugkütte</t>
  </si>
  <si>
    <t>Enne rek. kWh/m2/a</t>
  </si>
  <si>
    <t>Peale rek. kWh/m2/a</t>
  </si>
  <si>
    <t>Otstarve</t>
  </si>
  <si>
    <t>kõrgem, %</t>
  </si>
  <si>
    <t>renov., %</t>
  </si>
  <si>
    <t>renov., m2</t>
  </si>
  <si>
    <t>LEGEND</t>
  </si>
  <si>
    <t>otse- ehk muudetavate sisenditega väärtused</t>
  </si>
  <si>
    <t>valge</t>
  </si>
  <si>
    <t>Tallinna andmed: päringu vastus</t>
  </si>
  <si>
    <t>Realistlik rakendamise maht</t>
  </si>
  <si>
    <t>% renov. vajadusest (miljööväärtuslikel aladel ja muinsuskaitse alustel hoonetel või olla piiratud võimalus)</t>
  </si>
  <si>
    <t>Meetme rakendamise maht aastas</t>
  </si>
  <si>
    <t>Investeeringu erikulu (renoveerimine)</t>
  </si>
  <si>
    <t>EUR/m2</t>
  </si>
  <si>
    <t>vähendatud (500€/m2; vt valemit) tarkade energialahenduste võimaliku maksumuse võrra, viimased on eraldi meede</t>
  </si>
  <si>
    <t>Tarnitud energia keskmine hind</t>
  </si>
  <si>
    <t>EUR/MWh</t>
  </si>
  <si>
    <t>Utilitase Tallinna hind</t>
  </si>
  <si>
    <t>Maagaasi hind</t>
  </si>
  <si>
    <t>Elengen : ca 600€/1000m3; 1000m3=11,2MWh</t>
  </si>
  <si>
    <t>Elektri hind</t>
  </si>
  <si>
    <t>ekspertide eeldus</t>
  </si>
  <si>
    <t>Gaasikatelde kasutegur</t>
  </si>
  <si>
    <t>Investeeringu eluiga</t>
  </si>
  <si>
    <t>TULEMUSED</t>
  </si>
  <si>
    <t>KOONDNÄITAJAD</t>
  </si>
  <si>
    <t>KHG heite vähenemine</t>
  </si>
  <si>
    <t>Näitaja</t>
  </si>
  <si>
    <t>Väärtus</t>
  </si>
  <si>
    <t>t/a</t>
  </si>
  <si>
    <r>
      <t>CO2</t>
    </r>
    <r>
      <rPr>
        <vertAlign val="subscript"/>
        <sz val="10"/>
        <color theme="1"/>
        <rFont val="Aptos Narrow"/>
        <family val="2"/>
        <scheme val="minor"/>
      </rPr>
      <t>eq</t>
    </r>
    <r>
      <rPr>
        <sz val="10"/>
        <color theme="1"/>
        <rFont val="Aptos Narrow"/>
        <family val="2"/>
        <scheme val="minor"/>
      </rPr>
      <t xml:space="preserve"> maksimaalne vähenemine aastas; tonni/a, max</t>
    </r>
  </si>
  <si>
    <t>Energiakulu vähenemine, 2026-2050 kokku; GWh</t>
  </si>
  <si>
    <t>MEETME TÕHUSUS JA SISENDITE  KVALITEET</t>
  </si>
  <si>
    <t>Meetme efektiivsus (KHG heite vähendamise võime)</t>
  </si>
  <si>
    <t>Mõõdukas</t>
  </si>
  <si>
    <t>usaldusväärsed uuringud ja empiirika</t>
  </si>
  <si>
    <t>KHG heite muutuse hinnangu sisendite kvaliteet</t>
  </si>
  <si>
    <t>ekspertide hinnangud</t>
  </si>
  <si>
    <t>Maksumuse hinnangu sisendite kvaliteet</t>
  </si>
  <si>
    <t>Madal</t>
  </si>
  <si>
    <t>umbkaudsed sisendid</t>
  </si>
  <si>
    <t>koondskoor:</t>
  </si>
  <si>
    <t>ARVUTUSTABELID</t>
  </si>
  <si>
    <t>Aasta</t>
  </si>
  <si>
    <t>Renoveerimise maht; m2</t>
  </si>
  <si>
    <t>Kumuleeritud renoveerimise maht (neto); m2</t>
  </si>
  <si>
    <t>Investeering, tuhEUR</t>
  </si>
  <si>
    <t>Energiakulude sääst, tuh EUR</t>
  </si>
  <si>
    <t>NETOKULUD KOKKU (sh invest); tuh EUR</t>
  </si>
  <si>
    <t>Kütusekulu, MWh</t>
  </si>
  <si>
    <t>Tõhus kaugküte</t>
  </si>
  <si>
    <t>Elekter enne</t>
  </si>
  <si>
    <t>Elekter pärast</t>
  </si>
  <si>
    <t>Küte  enne</t>
  </si>
  <si>
    <t>Küte pärast</t>
  </si>
  <si>
    <t>Gaasiküte</t>
  </si>
  <si>
    <t>Energiakulu vähenemine kokku</t>
  </si>
  <si>
    <t>Gaas</t>
  </si>
  <si>
    <t>Eriheited, tCO2/MWh</t>
  </si>
  <si>
    <t>Maagaasi küte</t>
  </si>
  <si>
    <r>
      <t>CO2</t>
    </r>
    <r>
      <rPr>
        <b/>
        <vertAlign val="subscript"/>
        <sz val="10"/>
        <color theme="1"/>
        <rFont val="Aptos Narrow"/>
        <family val="2"/>
        <scheme val="minor"/>
      </rPr>
      <t>eq</t>
    </r>
    <r>
      <rPr>
        <b/>
        <sz val="10"/>
        <color theme="1"/>
        <rFont val="Aptos Narrow"/>
        <family val="2"/>
        <scheme val="minor"/>
      </rPr>
      <t xml:space="preserve"> vähenemine, t</t>
    </r>
  </si>
  <si>
    <t>MEEDE: Munitsipaalhoonete ehitamise heite vähendamine, uuenduslik renoveerimine</t>
  </si>
  <si>
    <t>TEGEVUS: Eelistada renoveerimist võimalusel täiesti uue hoone ehitamisele; Ehitusplatsil ning ehituse etapi jooksul madala emissiooniga "tsooni" loomine; lähtutakse kliimaneutraalsuse põhimõttest - hanketingimustesse; ehitusplatsil lähtutakse nullheite põhimõttest, seda nt nii transpordi puhul (elektrilised sõidukid, kallurid, masinad jne), kui ka soojakute energia puhul, et oleks taastuvenergial põhinev (õhksoojuspumbad, päikesepaneelid jne)</t>
  </si>
  <si>
    <t>Plaanitud ehitusmaht</t>
  </si>
  <si>
    <t>Renov-ga</t>
  </si>
  <si>
    <t>Uued hooned</t>
  </si>
  <si>
    <t>Ehitustööde emis.</t>
  </si>
  <si>
    <t>Renov. emis. / ehituse</t>
  </si>
  <si>
    <t>Kasutusotsatarve</t>
  </si>
  <si>
    <t>% ol.olevast</t>
  </si>
  <si>
    <t>asendatav, %</t>
  </si>
  <si>
    <t>kgCO2e/m2</t>
  </si>
  <si>
    <t>emis., %</t>
  </si>
  <si>
    <t>Ehitusteekaart</t>
  </si>
  <si>
    <t>WWW otsing</t>
  </si>
  <si>
    <r>
      <rPr>
        <b/>
        <sz val="10"/>
        <color theme="1"/>
        <rFont val="Aptos Narrow"/>
        <family val="2"/>
        <scheme val="minor"/>
      </rPr>
      <t>HO8</t>
    </r>
    <r>
      <rPr>
        <sz val="10"/>
        <color theme="1"/>
        <rFont val="Aptos Narrow"/>
        <family val="2"/>
        <scheme val="minor"/>
      </rPr>
      <t xml:space="preserve"> Ehitusplatsi emissiooni vähendamise potentsiaal (uusehitus)</t>
    </r>
  </si>
  <si>
    <t>Investeeringu erikulu (renoveerimine vs ehitus), EUR/m2</t>
  </si>
  <si>
    <t>renoveerimine odavam ehitamisest; allikas: Energiateekaart</t>
  </si>
  <si>
    <t>NA</t>
  </si>
  <si>
    <t>Perioodi indeks</t>
  </si>
  <si>
    <t>Uusehituse maht; m2</t>
  </si>
  <si>
    <t>Investeeringu kulu muutus, tuh EUR</t>
  </si>
  <si>
    <t>CO2 uusehitusel, t</t>
  </si>
  <si>
    <t>CO2 renoveerimisel</t>
  </si>
  <si>
    <t>CO2 vähendamine uusehituste ehitusplatsil</t>
  </si>
  <si>
    <t>Kasutus</t>
  </si>
  <si>
    <t>SBP, m2</t>
  </si>
  <si>
    <t>SBP/hoone, m2</t>
  </si>
  <si>
    <t>Korruseid, tk</t>
  </si>
  <si>
    <t>Katusepinda, m2</t>
  </si>
  <si>
    <t>Meetme rakendamise potentsiaal, % katusepinnast</t>
  </si>
  <si>
    <t>sünkroonis reniveerimistega kuid kõikjal ei ole võimalik</t>
  </si>
  <si>
    <t>Meetme rakendamise maht aastas, m2</t>
  </si>
  <si>
    <t>Investeeringu erikulu, EUR/kW</t>
  </si>
  <si>
    <t>Energiateekaart</t>
  </si>
  <si>
    <t>Ruumi vajadus, m2/kW</t>
  </si>
  <si>
    <t>internetiotsing</t>
  </si>
  <si>
    <t>Liitiumakud, EUR/kWh</t>
  </si>
  <si>
    <t>Keskmine tulu tarbimisel, EUR/MWh</t>
  </si>
  <si>
    <t>PV kasutustegur, h/a</t>
  </si>
  <si>
    <t>Akud/PV suhe, kWh/kW</t>
  </si>
  <si>
    <t>Degradatsioonimäär, % aastas</t>
  </si>
  <si>
    <t>tootlikkuse langus aastas</t>
  </si>
  <si>
    <t>täna ostab linn taastuvenergiat, seega ei asendata fossiilkütust</t>
  </si>
  <si>
    <t>segajäägi emissioonifaktori prognoosi keerukus</t>
  </si>
  <si>
    <t>investeeringu maksumuse hinnang suurema kindlusega kui elektrikulu kokkuhoiu hinnang</t>
  </si>
  <si>
    <t>Investeerimisperioodi indeks</t>
  </si>
  <si>
    <t>Installeeritud PV võimsus, kW</t>
  </si>
  <si>
    <t>Kumuleeritud PV võimsus, kW</t>
  </si>
  <si>
    <t>Akude võimsus, kWh</t>
  </si>
  <si>
    <t>Investeeringu kulu, tuh EUR</t>
  </si>
  <si>
    <t>Kokkuhoid tarbimisel, tuh EUR</t>
  </si>
  <si>
    <t>Netokulu, tuh EUR</t>
  </si>
  <si>
    <t>Elektritoodang, MWh/a</t>
  </si>
  <si>
    <t>Segajäägi eriheide, tCO2/MWh</t>
  </si>
  <si>
    <r>
      <t>CO2</t>
    </r>
    <r>
      <rPr>
        <b/>
        <vertAlign val="subscript"/>
        <sz val="10"/>
        <color theme="1"/>
        <rFont val="Aptos Narrow"/>
        <family val="2"/>
        <scheme val="minor"/>
      </rPr>
      <t>eq</t>
    </r>
    <r>
      <rPr>
        <b/>
        <sz val="10"/>
        <color theme="1"/>
        <rFont val="Aptos Narrow"/>
        <family val="2"/>
        <scheme val="minor"/>
      </rPr>
      <t xml:space="preserve"> vähenemine, t (potentsiaalne)</t>
    </r>
  </si>
  <si>
    <t>MEEDE: Munitsipaalhoonete energiatõhususe ja kliimakindluse suurendamine</t>
  </si>
  <si>
    <t>TEGEVUS: Akendele päikesekaitse kile/filmi paigaldamine; aknavarjude või päikesekiledega uuendamine - energiatõhususe suurendamine; Targa maja lahenduste kasutamine kütte/ventilatsiooni puhul (vastavalt ilmaprognoosile, sessoonsusele jne) - selleks on oluline hooneautomaatika rajamine hoonetesse; Hoonete sisetemperatuuride vähendamine kütteperioodil</t>
  </si>
  <si>
    <t>Rakendamise algus</t>
  </si>
  <si>
    <t>Meetme kestus, a</t>
  </si>
  <si>
    <t>Lõpp</t>
  </si>
  <si>
    <t>% linna hoonetest</t>
  </si>
  <si>
    <t>Hoonete pind, tuh m2</t>
  </si>
  <si>
    <t>Elektritarve, GWh</t>
  </si>
  <si>
    <t>Soojatarve, GWh</t>
  </si>
  <si>
    <t>Energiakulu vähenemine</t>
  </si>
  <si>
    <t>sh kaugküte</t>
  </si>
  <si>
    <t>Maksumus, €/th m2</t>
  </si>
  <si>
    <t>HO5 Akende päikesekaitsed jm</t>
  </si>
  <si>
    <t>jahutuseenergia sääst võib olla 20-30% aga jahutuse energiakulu on Eestis suhteliselt väike</t>
  </si>
  <si>
    <t>HO6 Targa maja lahendused</t>
  </si>
  <si>
    <t>"Energiatõhususe direktiivi …"  Finantsakadeemia OÜ,  2020;  maksumuseks hinnatud ca 1/3 hoone täisrenoveerimise maksumusest</t>
  </si>
  <si>
    <t>HO7 Sisetemperatuuri vähendamine</t>
  </si>
  <si>
    <t>Linna hoonete pind</t>
  </si>
  <si>
    <t>tuh m2</t>
  </si>
  <si>
    <t>olemas olevad hooned</t>
  </si>
  <si>
    <t>Energiakulu</t>
  </si>
  <si>
    <t>gaas</t>
  </si>
  <si>
    <t>kaugküte</t>
  </si>
  <si>
    <t>Soojuse hind</t>
  </si>
  <si>
    <t>€/MWh</t>
  </si>
  <si>
    <t>mõju hinnang on keeruiline</t>
  </si>
  <si>
    <t>sõltub suuresti hoonete eripäradest ja parameetritest</t>
  </si>
  <si>
    <t>Investeeringu periood</t>
  </si>
  <si>
    <t>Kasutusperiood</t>
  </si>
  <si>
    <t>Energia kokkuhoid</t>
  </si>
  <si>
    <t>Kaugküte, MWh</t>
  </si>
  <si>
    <t>Elekter, MWh</t>
  </si>
  <si>
    <t>Eriheited</t>
  </si>
  <si>
    <t>Kaugküte, tCO2/MWh</t>
  </si>
  <si>
    <t>Elekter, tCO2/MWh</t>
  </si>
  <si>
    <t>MEEDE: Elu- ja ärihoonete uuenduslik renoveerimine ja ehitamine</t>
  </si>
  <si>
    <t>TEGEVUS: Madala süsinikuemissiooniga ehitiste juhiste ning nõudmiste väljatöötamine ärihoonete ja korterelamute puhul, Energiakonsultatsioon ettevõtetele ja eraomanikele/elanikele ning koostöö suurendamine ning loomine energiatõhususe küsimustes äri- ning eraklientidega</t>
  </si>
  <si>
    <t>Tarbimine, GWh</t>
  </si>
  <si>
    <t>Emissioon, tCO2</t>
  </si>
  <si>
    <t>Maagaas (maagaas &gt;&gt; biogaas, hake, elekter)</t>
  </si>
  <si>
    <t>Meetmete rakendamise algus</t>
  </si>
  <si>
    <t>Kestus</t>
  </si>
  <si>
    <t>Rakendamise maksimaalne ulatus</t>
  </si>
  <si>
    <t>% avaliku ja erasektori hoonetest</t>
  </si>
  <si>
    <t>Energiatarbimise vähenemine nõustamise tulemusena</t>
  </si>
  <si>
    <t>Linna kulu</t>
  </si>
  <si>
    <t>tuh€/a</t>
  </si>
  <si>
    <t>Kaugkütte hind</t>
  </si>
  <si>
    <t>Elengen pakub ca 600€/1000m3; 1000m3=11,2MWh</t>
  </si>
  <si>
    <t>käitumisliku muutuse hindamise keerukus</t>
  </si>
  <si>
    <t>Meetme rakendamise periood (jah=1)</t>
  </si>
  <si>
    <t>Nõustamiskulu, tuh€</t>
  </si>
  <si>
    <t>Energiakulu muutus, tuh€</t>
  </si>
  <si>
    <t>Netokulu, tuh€</t>
  </si>
  <si>
    <t>Energiatarbimise vähenemine (kumuleeritud), GWh</t>
  </si>
  <si>
    <t>CO2 vähenemise lisandumine</t>
  </si>
  <si>
    <r>
      <t>CO2</t>
    </r>
    <r>
      <rPr>
        <b/>
        <vertAlign val="subscript"/>
        <sz val="10"/>
        <color theme="1"/>
        <rFont val="Aptos Narrow"/>
        <family val="2"/>
        <scheme val="minor"/>
      </rPr>
      <t>eq</t>
    </r>
    <r>
      <rPr>
        <b/>
        <sz val="10"/>
        <color theme="1"/>
        <rFont val="Aptos Narrow"/>
        <family val="2"/>
        <scheme val="minor"/>
      </rPr>
      <t xml:space="preserve"> vähenemine (kumuleeritud), t</t>
    </r>
  </si>
  <si>
    <t>Kokku alla C-klassi hooned,  SNP m2</t>
  </si>
  <si>
    <t>sh linna hooned, 
SNP m2</t>
  </si>
  <si>
    <t>Hooned  reno-veerimisse, SNP m2</t>
  </si>
  <si>
    <t>Gaasikütte osakaal</t>
  </si>
  <si>
    <t>Enne - Soojus, kWh/m2/</t>
  </si>
  <si>
    <t>Enne - Elekter, kWh/m2/</t>
  </si>
  <si>
    <t>Pärast - Soojus, kWh/m2/</t>
  </si>
  <si>
    <t>Pärast - Elekter, kWh/m2/</t>
  </si>
  <si>
    <t>VÄIKEELAMUD</t>
  </si>
  <si>
    <t>KORTERELAMUD</t>
  </si>
  <si>
    <t>Ehitisregister</t>
  </si>
  <si>
    <t>vt HO1</t>
  </si>
  <si>
    <t>Ehitisregister; https://livekluster.ehr.ee/ui/ehr/v1/infoportal/buildingsummary</t>
  </si>
  <si>
    <t>% max</t>
  </si>
  <si>
    <t>ei ole võimalik lõpuni hoonete heidet vähendada</t>
  </si>
  <si>
    <t>Lokaalküte (minnakse elektrile, biomassile või biogaasile)</t>
  </si>
  <si>
    <t>Alla C energiaklassi hoonete SNP</t>
  </si>
  <si>
    <t>Hoolekandeasutused, ühiselamud</t>
  </si>
  <si>
    <t>Majutus/toitlustus</t>
  </si>
  <si>
    <t>Büraaohooned</t>
  </si>
  <si>
    <t>Kaubandus, teenindus</t>
  </si>
  <si>
    <t>Transpordihooned</t>
  </si>
  <si>
    <t>Tööstus ja laohooned</t>
  </si>
  <si>
    <t>Meelelahutus</t>
  </si>
  <si>
    <t>Muuseumid/raamatukogud</t>
  </si>
  <si>
    <t>Haridus/teadus</t>
  </si>
  <si>
    <t>Haiglad</t>
  </si>
  <si>
    <t>Spordihooned</t>
  </si>
  <si>
    <t>Muud</t>
  </si>
  <si>
    <t>EELDUSED JA ARVUTUSKÄIK</t>
  </si>
  <si>
    <t>Hoone tüüp</t>
  </si>
  <si>
    <t>SNP kokkku, m2</t>
  </si>
  <si>
    <t>Kaugküttega liitumise potentsiaal</t>
  </si>
  <si>
    <t>Maagaasi osakaal lokaalküttes</t>
  </si>
  <si>
    <t>Eluhooned - kortermajad</t>
  </si>
  <si>
    <t>EIS/Kredex andmed kaugküttega liitumise kohta</t>
  </si>
  <si>
    <t>Eluhooned - väikeelamud</t>
  </si>
  <si>
    <t>uued hooned</t>
  </si>
  <si>
    <t>Mitteeluhooned</t>
  </si>
  <si>
    <t>300tuh m2/a uued elu- ja ärihooneid; 90% kaugküttega;</t>
  </si>
  <si>
    <t>Hoonete energiatarbimine</t>
  </si>
  <si>
    <t>kWh/m2/a</t>
  </si>
  <si>
    <t>Kaugküttega liitumise tasu</t>
  </si>
  <si>
    <t>eeldatud 1000€ 100m2 suuruse korteri kohta</t>
  </si>
  <si>
    <t>Tallinna liitumistoetus</t>
  </si>
  <si>
    <t>https://utilitas.ee/kaugkute-ja-kaugjahutus/liitu-kaugkuttega-tallinna-linna-toetuse-abil/</t>
  </si>
  <si>
    <t>Energiatarbimise langus</t>
  </si>
  <si>
    <t>aastas</t>
  </si>
  <si>
    <t>erinevate meetmete (renoveerimised) tulemusena</t>
  </si>
  <si>
    <t>madal</t>
  </si>
  <si>
    <t>kõrge</t>
  </si>
  <si>
    <t>Liitumiskulu, tuh€</t>
  </si>
  <si>
    <t>sh linna toetus, tuh €</t>
  </si>
  <si>
    <t>Kaugkütte tarbimise kasv, GWh</t>
  </si>
  <si>
    <t>Kumulatiivne kasv, GWh</t>
  </si>
  <si>
    <t>Gaasiga lokaalkütte vähenemine, GWh</t>
  </si>
  <si>
    <t>Kaugkütte eriheide, tCO2/MWh</t>
  </si>
  <si>
    <t>Kaugkütte eriheide 2021a</t>
  </si>
  <si>
    <t>Kaugkütte eriheide 2024a</t>
  </si>
  <si>
    <t>Utilitas  2024.a aastaaruande põhjal</t>
  </si>
  <si>
    <t>Kaugkütte eriheite eesmärk</t>
  </si>
  <si>
    <t>eeldusel, et kogu Tallinna kaugküte järgib Utilitase eesmärki</t>
  </si>
  <si>
    <t>Kaugkütte tarbimise maht, 2021.a</t>
  </si>
  <si>
    <t>sh KOV-i tarbimise maht</t>
  </si>
  <si>
    <t>Kaugkütte hinnakasv tarbijatele</t>
  </si>
  <si>
    <t>tegelikult pole teada, kui kuluefektiivsed on kütuste asendamise investeeringud</t>
  </si>
  <si>
    <t>kütuste vahetmine on kõige tõhusam KHG meede</t>
  </si>
  <si>
    <t>Investeeringu kulu, tuh€</t>
  </si>
  <si>
    <t>Kaugkütte kulude kasv</t>
  </si>
  <si>
    <t>sh linna kulude kasv, tuh€</t>
  </si>
  <si>
    <t>Netokulu</t>
  </si>
  <si>
    <t>sh linna kulud, tuh€</t>
  </si>
  <si>
    <t>Linna eesmärk on 2027.a üle minna LED valgustitele</t>
  </si>
  <si>
    <t>Omadus</t>
  </si>
  <si>
    <t>LED valgustid</t>
  </si>
  <si>
    <t>Naatrium‑kõrgrõhulambid (HPS)</t>
  </si>
  <si>
    <t>Hind ühe ühiku kohta</t>
  </si>
  <si>
    <t>100–400 € (kuni 500 € kvaliteetsem)</t>
  </si>
  <si>
    <t>50–250 € (kuni 300 € kvaliteetsem)</t>
  </si>
  <si>
    <t>Valgustite arv Tallinnas</t>
  </si>
  <si>
    <t>tükki</t>
  </si>
  <si>
    <t>Võimsus</t>
  </si>
  <si>
    <t>30–150 W</t>
  </si>
  <si>
    <t>100–400 W</t>
  </si>
  <si>
    <t>võimsus, W</t>
  </si>
  <si>
    <t>eluiga, h</t>
  </si>
  <si>
    <t>tsükkel, a</t>
  </si>
  <si>
    <t>lambi hind, €/tk</t>
  </si>
  <si>
    <t>valgusti hind, €/tk</t>
  </si>
  <si>
    <t>Eluiga</t>
  </si>
  <si>
    <t>50 000–100 000 tundi</t>
  </si>
  <si>
    <t>18 000–24 000 tundi</t>
  </si>
  <si>
    <t>sh  naatrium-kõrgrõhulampvalgustid</t>
  </si>
  <si>
    <t>Energiatarve</t>
  </si>
  <si>
    <t>50–70% vähem kui HPS</t>
  </si>
  <si>
    <t>Energiatarve on suurem kui LED-lampidel</t>
  </si>
  <si>
    <t>sh LED valgustid</t>
  </si>
  <si>
    <t>Vahe, tk</t>
  </si>
  <si>
    <t>kui on vaja valgustit vahetada (materjal+töö)</t>
  </si>
  <si>
    <t>Kasutamise aeg aastas</t>
  </si>
  <si>
    <t>h</t>
  </si>
  <si>
    <t>LED asendamine</t>
  </si>
  <si>
    <t>FPS asendamine</t>
  </si>
  <si>
    <t>Valgusti investeering</t>
  </si>
  <si>
    <t>LED-valgusti soetamine, tuh€</t>
  </si>
  <si>
    <t>FPS-valgusti soetamine, tuh€</t>
  </si>
  <si>
    <t>Elektrikulu muutus</t>
  </si>
  <si>
    <t>Elektrikulu LED, MWh</t>
  </si>
  <si>
    <t>Elektrikulu FPC, MWh</t>
  </si>
  <si>
    <t>Elektrikulu vähenemine, MWh</t>
  </si>
  <si>
    <r>
      <t>CO2</t>
    </r>
    <r>
      <rPr>
        <b/>
        <vertAlign val="subscript"/>
        <sz val="10"/>
        <color theme="1"/>
        <rFont val="Aptos Narrow"/>
        <family val="2"/>
        <scheme val="minor"/>
      </rPr>
      <t>eq</t>
    </r>
    <r>
      <rPr>
        <b/>
        <sz val="10"/>
        <color theme="1"/>
        <rFont val="Aptos Narrow"/>
        <family val="2"/>
        <scheme val="minor"/>
      </rPr>
      <t xml:space="preserve"> vähenemine, t </t>
    </r>
    <r>
      <rPr>
        <b/>
        <vertAlign val="superscript"/>
        <sz val="10"/>
        <color theme="1"/>
        <rFont val="Aptos Narrow"/>
        <family val="2"/>
        <scheme val="minor"/>
      </rPr>
      <t>1</t>
    </r>
  </si>
  <si>
    <r>
      <rPr>
        <i/>
        <vertAlign val="superscript"/>
        <sz val="10"/>
        <color theme="1"/>
        <rFont val="Aptos Narrow"/>
        <family val="2"/>
        <scheme val="minor"/>
      </rPr>
      <t>1</t>
    </r>
    <r>
      <rPr>
        <i/>
        <sz val="10"/>
        <color theme="1"/>
        <rFont val="Aptos Narrow"/>
        <family val="2"/>
        <scheme val="minor"/>
      </rPr>
      <t>Tallinn kasutab taastuvelektrit!</t>
    </r>
  </si>
  <si>
    <t>Kaugkütte osakaal 2050</t>
  </si>
  <si>
    <t>Lokaalküte puhtale kütusele</t>
  </si>
  <si>
    <t>sõltub piirkondade infra (elektrivõimsused jm) valmisolekust!</t>
  </si>
  <si>
    <t>tegelik CO2 vähenemine sõltub elektri eriheitest!</t>
  </si>
  <si>
    <t>meede SM1</t>
  </si>
  <si>
    <t>Soojuspumba investeering</t>
  </si>
  <si>
    <t>tuh€/MW</t>
  </si>
  <si>
    <t>Maagaasi lokaalküte ülemine puhtale kütusele (elekter)</t>
  </si>
  <si>
    <t>Kütte tarbmine</t>
  </si>
  <si>
    <t>Soojuspumpade COP</t>
  </si>
  <si>
    <t>Elektri tarbimine</t>
  </si>
  <si>
    <t>Soojuspumba töötunnid</t>
  </si>
  <si>
    <t>h/a</t>
  </si>
  <si>
    <t>Installeeritud võimsus kokku</t>
  </si>
  <si>
    <t>MW</t>
  </si>
  <si>
    <t>Tallinna investeeringutoetus</t>
  </si>
  <si>
    <t>inv. maksumus</t>
  </si>
  <si>
    <t>Gaasikatelde efektiivsus</t>
  </si>
  <si>
    <t>Installeeritud võimsus, MW</t>
  </si>
  <si>
    <t>Elektrikütte tarbimise kasv, GWh</t>
  </si>
  <si>
    <t>kumulatiivne kasv, GWh</t>
  </si>
  <si>
    <t>Elektritarbimise kasv, GWh</t>
  </si>
  <si>
    <t>Gaasi tarbimise vähenemine, GWh</t>
  </si>
  <si>
    <t>kumulatiivne, GWh</t>
  </si>
  <si>
    <t>EELDUSED</t>
  </si>
  <si>
    <t>Kategooria</t>
  </si>
  <si>
    <t>Inv. Algus</t>
  </si>
  <si>
    <t>Inv. Lõpp</t>
  </si>
  <si>
    <t>Liini pikkus km</t>
  </si>
  <si>
    <t>Tramm-km päevas</t>
  </si>
  <si>
    <t>Maksumus, m€</t>
  </si>
  <si>
    <t>Maksumus, aastas, m€</t>
  </si>
  <si>
    <t>Trammide arv</t>
  </si>
  <si>
    <t>Intervall, min</t>
  </si>
  <si>
    <t>Liini-km / tramm (ö/p)</t>
  </si>
  <si>
    <t>Reisijate arv liinidel ö/p</t>
  </si>
  <si>
    <t>Ia et Liivalaia</t>
  </si>
  <si>
    <t>teada on sõiduautode liikluse numbrid; autosõit raskeneb;</t>
  </si>
  <si>
    <t>Ib et. Pelguranna</t>
  </si>
  <si>
    <t>I et. Sõle, Peetri, Laagna</t>
  </si>
  <si>
    <t>II et.  Viimsi, Mustamäe ja Lasnamäe põhjaosa</t>
  </si>
  <si>
    <t>III et. Haabersti ja Kalaranna</t>
  </si>
  <si>
    <t xml:space="preserve">IV et. Järvevana ja Jüri </t>
  </si>
  <si>
    <t xml:space="preserve">V et. Maardu ja Järve </t>
  </si>
  <si>
    <t>Kulude eeldused</t>
  </si>
  <si>
    <t>keskmine</t>
  </si>
  <si>
    <t>Veeremi investeering</t>
  </si>
  <si>
    <t>mln €/tramm</t>
  </si>
  <si>
    <t>https://tlt.ee/esimene-uus-pesa-tramm-joudis-tallinnasse-ja-asub-labima-testkilomeetreid/</t>
  </si>
  <si>
    <t>kWh/km</t>
  </si>
  <si>
    <t>Elektri hind (trammidele)</t>
  </si>
  <si>
    <t>eeldus - koos kõikide tasude ja maksudega</t>
  </si>
  <si>
    <t>Tühisõitude osakaal</t>
  </si>
  <si>
    <t>Juhte trammi kohta</t>
  </si>
  <si>
    <t>inimest</t>
  </si>
  <si>
    <t>TLT AA 2024.a: 45 trammi, 150 juhti</t>
  </si>
  <si>
    <t>Keskmine töötasu (brutopalk)</t>
  </si>
  <si>
    <t>€/kuus</t>
  </si>
  <si>
    <t>Trammide ja infra hooldus</t>
  </si>
  <si>
    <t>tuh€/tramm/a</t>
  </si>
  <si>
    <t>TLT AA 2024.a:  hooldus ja liinitöö kulud sõiduki kohta ca 35k€, trammidel keskmisest suurem!</t>
  </si>
  <si>
    <t>Keskmine bensiini ja diisli hind</t>
  </si>
  <si>
    <t>€/l</t>
  </si>
  <si>
    <t>Keskmine elektri hind (sõiduautodele)</t>
  </si>
  <si>
    <t>€/kWh</t>
  </si>
  <si>
    <t>elektrisõidukite laadimiseks</t>
  </si>
  <si>
    <t>Sõiduauto muud muutuvkulud</t>
  </si>
  <si>
    <t>% kütusekulust</t>
  </si>
  <si>
    <t>Sõitjate arv, modaalnihe</t>
  </si>
  <si>
    <t>Sõitjad, kes tulevad sõiduautodest</t>
  </si>
  <si>
    <t>% reisijatest</t>
  </si>
  <si>
    <t>Keskmine sõitjate arv sõiduautos</t>
  </si>
  <si>
    <t>allikas: Transpordi teekaart</t>
  </si>
  <si>
    <t>Sõiduauto keskmise sõidu vahemaa Tallinnas</t>
  </si>
  <si>
    <t>% trammiliini pikkusest</t>
  </si>
  <si>
    <t>Sõiduauto keskmine sõit trammiliini asendamisel</t>
  </si>
  <si>
    <t>km</t>
  </si>
  <si>
    <t>sõitjate arvu muutust on keeruline hinnanta</t>
  </si>
  <si>
    <t>Investeeringu perioodid, trammide arv, sõidud</t>
  </si>
  <si>
    <t>Ia et. Liivalaia</t>
  </si>
  <si>
    <t>1 või 0</t>
  </si>
  <si>
    <t>Lisandunud trammide arv</t>
  </si>
  <si>
    <t>tk</t>
  </si>
  <si>
    <t>Sõitude arv</t>
  </si>
  <si>
    <t>mln</t>
  </si>
  <si>
    <t>TULUD/KULUD</t>
  </si>
  <si>
    <t>Investeering - infrastruktuur</t>
  </si>
  <si>
    <t>tuh €</t>
  </si>
  <si>
    <t>Investeering - veerem</t>
  </si>
  <si>
    <t>Investeering kokku</t>
  </si>
  <si>
    <t>Kütusekulu - elekter</t>
  </si>
  <si>
    <t>Remondi- ja hooldukulu</t>
  </si>
  <si>
    <t>Juhtide palgakulu</t>
  </si>
  <si>
    <t>Tegevuskulud kokku</t>
  </si>
  <si>
    <t>Autokasutuse kulu muutus</t>
  </si>
  <si>
    <t>sh linna kulud</t>
  </si>
  <si>
    <t>KULUD KOKKU (sh invest)</t>
  </si>
  <si>
    <t>Kütus ja emissioonid</t>
  </si>
  <si>
    <t>Trammide elektrikulu</t>
  </si>
  <si>
    <t>Sõiduautode läbisõidu vähenemine</t>
  </si>
  <si>
    <t>Sõiduautode reiside arvu vähenemine</t>
  </si>
  <si>
    <t>mln tk</t>
  </si>
  <si>
    <t>Fossiilkütuste vähenemine</t>
  </si>
  <si>
    <t>tuh/l</t>
  </si>
  <si>
    <t>Elektritarbimise vähenemine</t>
  </si>
  <si>
    <r>
      <t>CO2</t>
    </r>
    <r>
      <rPr>
        <b/>
        <vertAlign val="subscript"/>
        <sz val="10"/>
        <color theme="1"/>
        <rFont val="Aptos Narrow"/>
        <family val="2"/>
        <scheme val="minor"/>
      </rPr>
      <t>eq</t>
    </r>
    <r>
      <rPr>
        <b/>
        <sz val="10"/>
        <color theme="1"/>
        <rFont val="Aptos Narrow"/>
        <family val="2"/>
        <scheme val="minor"/>
      </rPr>
      <t xml:space="preserve"> vähenemine</t>
    </r>
  </si>
  <si>
    <t>Perioodi algus</t>
  </si>
  <si>
    <t>Optimeerimisperioodi kestus</t>
  </si>
  <si>
    <t>Perioodi lõpp</t>
  </si>
  <si>
    <t>ÜT reiside arvu kasv (reisijate reisid)</t>
  </si>
  <si>
    <t>Autoreisijate osakaal lisandunud sõitudes</t>
  </si>
  <si>
    <t>Keskmine autosõidu pikkus</t>
  </si>
  <si>
    <t>Keskmine sõitajte arv sõiduautos</t>
  </si>
  <si>
    <t>in</t>
  </si>
  <si>
    <t>Transpordi teekaart</t>
  </si>
  <si>
    <t>Kulud</t>
  </si>
  <si>
    <t>Linna kulu aastas</t>
  </si>
  <si>
    <t>tuh €/a</t>
  </si>
  <si>
    <t>peamiselt konsultatsiooniteenus</t>
  </si>
  <si>
    <t>Keskmine elektri hind</t>
  </si>
  <si>
    <t>keeruline hinnata sõitjate arvu muutust</t>
  </si>
  <si>
    <t>Reisijad</t>
  </si>
  <si>
    <t>Bussireisijate kasvu periood</t>
  </si>
  <si>
    <t>jah = 1</t>
  </si>
  <si>
    <t>Kulu linnale</t>
  </si>
  <si>
    <t>Kulu autosõitjatele</t>
  </si>
  <si>
    <t>ÜT  reiside arvu kasv</t>
  </si>
  <si>
    <t>mln reisi</t>
  </si>
  <si>
    <t>Autoreiside vähenemine</t>
  </si>
  <si>
    <t>Fossiilkütuste tarbimise vähenemine</t>
  </si>
  <si>
    <t>tuh l</t>
  </si>
  <si>
    <t>Sõiduautode elektrikulu vähenemine</t>
  </si>
  <si>
    <t>Investeerimisperioodi (tegevuste) algus</t>
  </si>
  <si>
    <t>Investeerimisperioodi lõpp</t>
  </si>
  <si>
    <t>Investeeringu aastaid</t>
  </si>
  <si>
    <t>Meetme mõjuperioodi algus</t>
  </si>
  <si>
    <t>Meetme mõjuperioodi lõpp</t>
  </si>
  <si>
    <t>Elektribuss kallim diiselbussist</t>
  </si>
  <si>
    <t>€/buss</t>
  </si>
  <si>
    <t>Laadimistaristu maksumus</t>
  </si>
  <si>
    <t>võrguga liitumine võib kulu muuta</t>
  </si>
  <si>
    <t>Remont, €/a</t>
  </si>
  <si>
    <t>Kütus, €/a</t>
  </si>
  <si>
    <t>hind, €/(l,kWh)</t>
  </si>
  <si>
    <t>Kütusekulu muutus (elekter vrs diisel)</t>
  </si>
  <si>
    <t>€/buss/a</t>
  </si>
  <si>
    <t>Diiselbuss</t>
  </si>
  <si>
    <t>Remondukulu muutus (el vs diisel)</t>
  </si>
  <si>
    <t>Elektribuss</t>
  </si>
  <si>
    <t>Diiselbusside asendamise vajadus</t>
  </si>
  <si>
    <t>Toomas Hirve /TLT / 22.10.25</t>
  </si>
  <si>
    <t>Liinibussi läbisõit aastas</t>
  </si>
  <si>
    <t>Bussi kütusekulu, diisel</t>
  </si>
  <si>
    <t>Bussi kütusekulu, elekter</t>
  </si>
  <si>
    <t>kwh/100km</t>
  </si>
  <si>
    <t>Meetme rakendamise realistlik maht  (maksimumist)</t>
  </si>
  <si>
    <t>Meetme rakendamise maht aastas (bussi)</t>
  </si>
  <si>
    <t>bussi</t>
  </si>
  <si>
    <t>vahetatakse välja aasas</t>
  </si>
  <si>
    <t>Investeeringu (bussi) eluiga</t>
  </si>
  <si>
    <t>1,5</t>
  </si>
  <si>
    <t>väga efektiivne meede</t>
  </si>
  <si>
    <t>Rakendamise aastane maht</t>
  </si>
  <si>
    <t>el. bussi</t>
  </si>
  <si>
    <t>Kumuleeritud maht</t>
  </si>
  <si>
    <t>Investeering - sõidukid</t>
  </si>
  <si>
    <t>Investeering - laadijad</t>
  </si>
  <si>
    <t>Kütusekulu muutus</t>
  </si>
  <si>
    <t>Remondikulu muutus</t>
  </si>
  <si>
    <t>NETOKULUD KOKKU (sh invest)</t>
  </si>
  <si>
    <t>Diiselkütuse kulu vähenemine</t>
  </si>
  <si>
    <t>tuh. l</t>
  </si>
  <si>
    <t>Elektrikulu kasv</t>
  </si>
  <si>
    <t>MEEDE: Üldine ühistranspordi arendamine</t>
  </si>
  <si>
    <t>Investeerimisperioodi algus</t>
  </si>
  <si>
    <t>Ühistranspordi reiside arvu kasv (reisijate reisid)</t>
  </si>
  <si>
    <t>Täismõju saavutamise periood</t>
  </si>
  <si>
    <t>Autoreisijate osakaal lisandunud ÜT sõitudes</t>
  </si>
  <si>
    <t>TR13, 14,16 - Nõustamiskulu</t>
  </si>
  <si>
    <t>erinevate meetmete elluviimiseks</t>
  </si>
  <si>
    <t>TR15 - Ühistranspordiradade rajamise potentsiaal</t>
  </si>
  <si>
    <t>TLN Jätkusuutliku Linnaliikuvuse Kava; 2023; lk 30; - eesmärk aastaks 2035</t>
  </si>
  <si>
    <t>TR15 - Investeeringukulu: ühistranspordirajad</t>
  </si>
  <si>
    <t>mln €/km</t>
  </si>
  <si>
    <t>nt Pirita tee ühistranspordirada (ca 2,1km) maksuus oli ca 2,6m€</t>
  </si>
  <si>
    <t>TR17,18 - Ligipääsetavuse investeeringud</t>
  </si>
  <si>
    <t>peatuste rajamine, parem ligipääsetavus puuetega inimestele</t>
  </si>
  <si>
    <t>Meetme elluviimise periood</t>
  </si>
  <si>
    <t>Mõju saavutamise periood</t>
  </si>
  <si>
    <t>Investeeringu kulu</t>
  </si>
  <si>
    <t>Nõustamiskulu</t>
  </si>
  <si>
    <t>Autosõitjate kulu muutus</t>
  </si>
  <si>
    <t>ÜT reiside arvu kasv</t>
  </si>
  <si>
    <t>MEEDE: Multimodaalsus</t>
  </si>
  <si>
    <t>Erinevate lahenduste eelduste kompleksid</t>
  </si>
  <si>
    <t>Kestus, a</t>
  </si>
  <si>
    <t>Investeering, mln€</t>
  </si>
  <si>
    <t>ÜT reisijate kasv</t>
  </si>
  <si>
    <t>TR21 - Järve liikumiskeskus</t>
  </si>
  <si>
    <t>TR21 - Kristiine liikuvuskeskus</t>
  </si>
  <si>
    <t>TR21 - Ülemiste liikuvuskeskus</t>
  </si>
  <si>
    <t>TR21 -Smuuli  liikuvuskeskus</t>
  </si>
  <si>
    <t>TR19,20 - MaaS lahendus</t>
  </si>
  <si>
    <t>Autosõitjate osakaal lisandunud ÜT reisidest</t>
  </si>
  <si>
    <t>Investeeringu perioodid</t>
  </si>
  <si>
    <t>Järve liikumiskeskus</t>
  </si>
  <si>
    <t>Kristiine liikuvuskeskus</t>
  </si>
  <si>
    <t>Ülemiste liikuvuskeskus</t>
  </si>
  <si>
    <t>Smuuli liikuvuskeskus</t>
  </si>
  <si>
    <t>MaaS lahendus</t>
  </si>
  <si>
    <t>MEEDE: Mugavad ja ohutud jalgrattaga liikumise võimalused</t>
  </si>
  <si>
    <t>Meede / Tegevus (mõõtühik)</t>
  </si>
  <si>
    <t>Inv. algus</t>
  </si>
  <si>
    <t>Inv. lõpp</t>
  </si>
  <si>
    <t>Pikkus (km) / tükki</t>
  </si>
  <si>
    <t>Maksumus, 
tuh€/(km, tk)</t>
  </si>
  <si>
    <t>Hooldus, t€/(km,tk)</t>
  </si>
  <si>
    <t>Rattasõitu-de kasv</t>
  </si>
  <si>
    <t>TR22 / Jalgrattateede põhivõrk ( km)</t>
  </si>
  <si>
    <t>TR23 / Jalgrattateede tervisevõrk (km)</t>
  </si>
  <si>
    <t>TR30 / Jalgrattakiirteed (km)</t>
  </si>
  <si>
    <t>TR24,25 / Rattaparklad (tk)</t>
  </si>
  <si>
    <t>TR28 Rattaringlus (tk)</t>
  </si>
  <si>
    <t>TR26 Rattateede hoolduskulud kallinemine - suvi</t>
  </si>
  <si>
    <t>€/km/a</t>
  </si>
  <si>
    <t>TR26 Rattateede hoolduskulu kallimine - talv</t>
  </si>
  <si>
    <t>TR26 Hooldusstandardi tõsmise aasta</t>
  </si>
  <si>
    <t>Tallinna rattateede võrk täna</t>
  </si>
  <si>
    <t>Tänane hinnatase</t>
  </si>
  <si>
    <t>Hinnang</t>
  </si>
  <si>
    <t>Kütusekulu vähenemine, 2026-2050 kokku; GWh</t>
  </si>
  <si>
    <t>Jalgrattateede põhi- ja tervisvõrk, km</t>
  </si>
  <si>
    <t>Jalgrattateede tervisvõrk, km</t>
  </si>
  <si>
    <t>Jalgratta kiirteed, km</t>
  </si>
  <si>
    <t>Rattaparklad, tk</t>
  </si>
  <si>
    <t>Rattaringlus</t>
  </si>
  <si>
    <t>Hoolduskulude uus tase</t>
  </si>
  <si>
    <t>Rattateede kogupikkus</t>
  </si>
  <si>
    <t>Lisandunud parklaid</t>
  </si>
  <si>
    <t>Hoolduskulu</t>
  </si>
  <si>
    <t>Rattasõitude arvu kasv</t>
  </si>
  <si>
    <t>Rattesõitude arvu kasv</t>
  </si>
  <si>
    <t>mln sõitu</t>
  </si>
  <si>
    <t>MEEDE: Jalakäijasõbraliku linna loomine / autostumise vähendamine</t>
  </si>
  <si>
    <t>Meetme  algus</t>
  </si>
  <si>
    <t>Meetme lõpp</t>
  </si>
  <si>
    <t>Pikkus (km)</t>
  </si>
  <si>
    <t>Maksumus, 
tuh€/km</t>
  </si>
  <si>
    <t>Rattsõitude kasv</t>
  </si>
  <si>
    <t>Jala käimise kasv</t>
  </si>
  <si>
    <t>ÜT kasutuse kasv</t>
  </si>
  <si>
    <t>TR31 / Autovabad tänavad</t>
  </si>
  <si>
    <t xml:space="preserve">Linnatänavate pikkus - Urban streets </t>
  </si>
  <si>
    <t>TR32 / 9 tänavaliigi põhimõte</t>
  </si>
  <si>
    <t>Kõvakattega tänavate pikkus - Surfaced streets</t>
  </si>
  <si>
    <t>TR33 30km/h piirkiirus autodele</t>
  </si>
  <si>
    <t>Kõnniteega tänavate pikkus - Streets with pavement</t>
  </si>
  <si>
    <t>TR34 / roheline viimane miil</t>
  </si>
  <si>
    <t>Valgustatud tänavate pikkus - Lighted streets</t>
  </si>
  <si>
    <t>Jalgteede ja jalgrattateede pikkus - Footpaths and cycle routes</t>
  </si>
  <si>
    <t>Allikas: Tallinn arvudes, 2022</t>
  </si>
  <si>
    <t>Rattasõitude arvu kasv (autode arvelt)</t>
  </si>
  <si>
    <t>Rattasõitude arvu kasv - absoluutne</t>
  </si>
  <si>
    <t>Jalakäimiste arvu kasv (autode arvelt)</t>
  </si>
  <si>
    <t>Jalakäimiste arvu kasv - absoluutne</t>
  </si>
  <si>
    <t>mln kõndi</t>
  </si>
  <si>
    <t>ÜT reiside kasv (autode arvelt)</t>
  </si>
  <si>
    <t>ÜT reiside arvu kasv - absoluutne</t>
  </si>
  <si>
    <t>Elluviimise algus</t>
  </si>
  <si>
    <t>Elluviimise lõpp</t>
  </si>
  <si>
    <t>Meetme elluviimise aastaid</t>
  </si>
  <si>
    <t>Kaubamaht, tuh t</t>
  </si>
  <si>
    <t>Veoautod, tuh tk (sõitu)</t>
  </si>
  <si>
    <t>https://www.ts.ee/investor/pohinaitajad/</t>
  </si>
  <si>
    <t>Koorma kaal</t>
  </si>
  <si>
    <t>t/sõiduk</t>
  </si>
  <si>
    <t>Distants linnas</t>
  </si>
  <si>
    <t>Vanasadam-Väo ristmik</t>
  </si>
  <si>
    <t>kgCO2/km</t>
  </si>
  <si>
    <t>Kütusekulu</t>
  </si>
  <si>
    <t>Kütusekulu muutus aastas</t>
  </si>
  <si>
    <t>Veokite arvu max võimalik vähenemine</t>
  </si>
  <si>
    <t>Elluviimise periood</t>
  </si>
  <si>
    <t>iah=1</t>
  </si>
  <si>
    <t>Veokite kütusekulu</t>
  </si>
  <si>
    <t>Veokite emissioonikordaja</t>
  </si>
  <si>
    <t>Sõidukite (reiside) arv</t>
  </si>
  <si>
    <t>tuh tk</t>
  </si>
  <si>
    <t>Sõitudkite läbisõit</t>
  </si>
  <si>
    <t>TR36, 37, 44</t>
  </si>
  <si>
    <t>MEEDE: Sõidukite heidete vähendamine</t>
  </si>
  <si>
    <t>TEGEVUS: Ummikumaks kesklinnas tipptundidel; Autovaba kesklinn - ambitsioonikas mõte, et kesklinn/linnasüda autovabaks teha (va erisõidukid; erinevaid viise, kuidas läheneda teemale); ZEZ (zero-emission zone ehk nullheiteala) rakendamine kesklinnas</t>
  </si>
  <si>
    <t>Meede / Tegevus</t>
  </si>
  <si>
    <t>Vali meede, jah=1; ei=0</t>
  </si>
  <si>
    <t>Süsteemi pidamise kulu, m€/a</t>
  </si>
  <si>
    <t>Tasu määr, €/sõit</t>
  </si>
  <si>
    <t>Sõitude arv, mln</t>
  </si>
  <si>
    <t>Sõiduautode reiside langus</t>
  </si>
  <si>
    <t>sh lähevad rattale</t>
  </si>
  <si>
    <t>sh lähevad ÜT-sse</t>
  </si>
  <si>
    <t>TR36 / Ummikumaks</t>
  </si>
  <si>
    <t>TR37 / Autovaba kesklinn</t>
  </si>
  <si>
    <t>TR44 / zero-emission zone</t>
  </si>
  <si>
    <t>Hinnang - sõitude pikks, millest loobutakse ratta ja ÜT kasuks</t>
  </si>
  <si>
    <r>
      <rPr>
        <sz val="10"/>
        <color theme="1"/>
        <rFont val="Aptos Narrow"/>
        <family val="2"/>
      </rPr>
      <t>~</t>
    </r>
    <r>
      <rPr>
        <sz val="10"/>
        <color theme="1"/>
        <rFont val="Aptos Narrow"/>
        <family val="2"/>
        <charset val="186"/>
      </rPr>
      <t xml:space="preserve"> t</t>
    </r>
    <r>
      <rPr>
        <sz val="10"/>
        <color theme="1"/>
        <rFont val="Aptos Narrow"/>
        <family val="2"/>
        <charset val="186"/>
        <scheme val="minor"/>
      </rPr>
      <t>änane hinnatase</t>
    </r>
  </si>
  <si>
    <t>TR36,37,44'!E51-'TR36,37,44'!E51*'TR36,37,44'!$C$12</t>
  </si>
  <si>
    <t>TR44 / Zero-emission zone</t>
  </si>
  <si>
    <t>Ummikumaksu kulu  (+)</t>
  </si>
  <si>
    <t>Ummikumaksu tulu (-)</t>
  </si>
  <si>
    <t>Autovaba kesklinna kulu (+)</t>
  </si>
  <si>
    <t>Autovaba kesklinna tulu (-)</t>
  </si>
  <si>
    <t>Zero-emission zone kulu (+)</t>
  </si>
  <si>
    <t>Zero-emission zone kulu (-)</t>
  </si>
  <si>
    <t>Autosõitjate kulu muutus (sõidukid, maksukulu) (+)</t>
  </si>
  <si>
    <t xml:space="preserve">Rattasõitude arvu kasv </t>
  </si>
  <si>
    <t xml:space="preserve">ÜT reiside arvu kasv </t>
  </si>
  <si>
    <t>mln l</t>
  </si>
  <si>
    <t>ÜT reiside kasv</t>
  </si>
  <si>
    <t>TR38 / Andmepõhine parkimisalade vähendamine</t>
  </si>
  <si>
    <t>TR39 / Linna parkimisalade hoonestamine</t>
  </si>
  <si>
    <t>TR40 / Tasulise parkimisala laiendamine</t>
  </si>
  <si>
    <t>TR41 / Parkimisnõuded uusarendustele</t>
  </si>
  <si>
    <t>TR42 / Parkmishoonete rajamine</t>
  </si>
  <si>
    <t>TR43 / Kvaliteedinõuded väliparklatele (haljastus)</t>
  </si>
  <si>
    <t>Tallinna linna parkimistulu 2024.a</t>
  </si>
  <si>
    <t>mln €</t>
  </si>
  <si>
    <t>Parkimistulu kasv tasulise parkimisala laiendamisest</t>
  </si>
  <si>
    <t>Hinnang - sõitude pikks, millest loobutakse ratta kasuks!</t>
  </si>
  <si>
    <t>Parkimistasude tulu linnale (-)</t>
  </si>
  <si>
    <t>Autosõitjate kulu muutus (sõidukid, parkimine)</t>
  </si>
  <si>
    <t>AEG</t>
  </si>
  <si>
    <t>MAHT JA INVESTEERING</t>
  </si>
  <si>
    <t>Sõidukid</t>
  </si>
  <si>
    <t>Elektrribuss kallim diiselbussist</t>
  </si>
  <si>
    <t>€/a</t>
  </si>
  <si>
    <t>Meetme rakendamise vajadus max</t>
  </si>
  <si>
    <t>elektrbussi; ainult diiselbusside asendamiseks</t>
  </si>
  <si>
    <t>Liinibussi läbisõi aastas</t>
  </si>
  <si>
    <t>Kütusekulu sõiduki kohta, diisel</t>
  </si>
  <si>
    <t>Kütusekulu sõiduki kohta, elekter</t>
  </si>
  <si>
    <t>Diskontomäär (reaal)</t>
  </si>
  <si>
    <t>% aastas</t>
  </si>
  <si>
    <t>KHG MÕJU</t>
  </si>
  <si>
    <t>tCO2e/sõiduk</t>
  </si>
  <si>
    <t>SISENDITE JA TULEMUSTE KVALITEET</t>
  </si>
  <si>
    <t>Kriteerium</t>
  </si>
  <si>
    <t>Hinne</t>
  </si>
  <si>
    <t>Meetme tõhusus, {1=madal, … ,10=kõrge}</t>
  </si>
  <si>
    <t>Tehnoloogia valmisoleku tase, {1=madal, … ,10=kõrge}</t>
  </si>
  <si>
    <t>KHG heite muutuse hinnang</t>
  </si>
  <si>
    <t>Umbkaudne</t>
  </si>
  <si>
    <t>Hinnangu maksumustele</t>
  </si>
  <si>
    <t>Investeering aastas (2026-2050)</t>
  </si>
  <si>
    <t>Investeering kokku  (Σ2026-2050)</t>
  </si>
  <si>
    <t>Netokulu kokku (Σ2026-2050)</t>
  </si>
  <si>
    <r>
      <t>CO2</t>
    </r>
    <r>
      <rPr>
        <vertAlign val="subscript"/>
        <sz val="11"/>
        <color theme="1"/>
        <rFont val="Aptos Narrow"/>
        <family val="2"/>
        <charset val="186"/>
        <scheme val="minor"/>
      </rPr>
      <t>eq</t>
    </r>
    <r>
      <rPr>
        <sz val="11"/>
        <color theme="1"/>
        <rFont val="Aptos Narrow"/>
        <family val="2"/>
        <scheme val="minor"/>
      </rPr>
      <t xml:space="preserve"> vähenemine aastas</t>
    </r>
    <r>
      <rPr>
        <sz val="10"/>
        <color theme="1"/>
        <rFont val="Aptos Narrow"/>
        <family val="2"/>
        <charset val="186"/>
        <scheme val="minor"/>
      </rPr>
      <t xml:space="preserve"> (2026-2050)</t>
    </r>
  </si>
  <si>
    <t>tonni/a</t>
  </si>
  <si>
    <t>Kulutõhusus</t>
  </si>
  <si>
    <t>€/tCO2e</t>
  </si>
  <si>
    <t>sõidukit</t>
  </si>
  <si>
    <t>Diisekütuse kulu vähenemine</t>
  </si>
  <si>
    <t>NIMEKIRJAD</t>
  </si>
  <si>
    <t>Eksperdid</t>
  </si>
  <si>
    <t>Uuringud</t>
  </si>
  <si>
    <t>Sõidukite arv</t>
  </si>
  <si>
    <t>liitrit/kWh</t>
  </si>
  <si>
    <t>Keskmine läbisõit</t>
  </si>
  <si>
    <t>km/a</t>
  </si>
  <si>
    <t>Diisel/bensiin</t>
  </si>
  <si>
    <t>Sisepõlemis mootoriga sõiduki keskmine hind</t>
  </si>
  <si>
    <t>€/sõiduk</t>
  </si>
  <si>
    <t>Elektrisõiduk kallim sisepõlemismootoriga sõidukist</t>
  </si>
  <si>
    <t>Elektrisõiduk kallim diisel/bensiini sõidukist</t>
  </si>
  <si>
    <t>€/sõiduk/a</t>
  </si>
  <si>
    <t>Investeeringu (sõiduki) eluiga</t>
  </si>
  <si>
    <t>el. sõidukit</t>
  </si>
  <si>
    <t>Investeeringu ühikukulu</t>
  </si>
  <si>
    <t>tuh€/ 150kW laadija</t>
  </si>
  <si>
    <t>Eero Saava</t>
  </si>
  <si>
    <t>Toetus investeeringu maksumusest</t>
  </si>
  <si>
    <t>eeldus</t>
  </si>
  <si>
    <t>Laadijate vajadus</t>
  </si>
  <si>
    <t>tk/ 000' el.autot</t>
  </si>
  <si>
    <t>WWW</t>
  </si>
  <si>
    <t>Hooldus/haldus kulu</t>
  </si>
  <si>
    <t>Müügitasu (pangalink jm)</t>
  </si>
  <si>
    <t>müügitulust</t>
  </si>
  <si>
    <t>Keskmine laadimiste aeg ühel laadijal</t>
  </si>
  <si>
    <t>h/laadija/öp</t>
  </si>
  <si>
    <t>Laadijate võimsus</t>
  </si>
  <si>
    <t>kW/tk</t>
  </si>
  <si>
    <t>keskmise võimsusega kiirlaadija</t>
  </si>
  <si>
    <t>Laadimiselektri müügihind (neto)</t>
  </si>
  <si>
    <t>Elektri kadu laadimisel</t>
  </si>
  <si>
    <t>laetud elektrist</t>
  </si>
  <si>
    <t>Elektri ostuhind</t>
  </si>
  <si>
    <t>Keskmine sõiduki läbisõit Tallinnas</t>
  </si>
  <si>
    <t>tuh km /a</t>
  </si>
  <si>
    <t>arvestuslik (1 sõiduauto kogu läbisõi on ca 15tuh km/a)</t>
  </si>
  <si>
    <t>Laadijate paigaldamise tempo</t>
  </si>
  <si>
    <t>perioodi algus</t>
  </si>
  <si>
    <t>tk/a</t>
  </si>
  <si>
    <t>periood</t>
  </si>
  <si>
    <t>2026-2029</t>
  </si>
  <si>
    <t>2030-2034</t>
  </si>
  <si>
    <t>2035-…</t>
  </si>
  <si>
    <t>Elektriautode lisandumine laadija paigalduse järel</t>
  </si>
  <si>
    <t>aasta alates paigaldusest</t>
  </si>
  <si>
    <t>% kogumahust (20 laadijat &gt;&gt; 1000 el.autot)</t>
  </si>
  <si>
    <t>Elektritarbimise kasv, 2026-2050 kokku, GWh</t>
  </si>
  <si>
    <t>Laadijate soetamise/paigaldamise periood</t>
  </si>
  <si>
    <t>=1</t>
  </si>
  <si>
    <t>Paigaldatud laadijate arv</t>
  </si>
  <si>
    <t>Lisandunud elektriautode arv kokku</t>
  </si>
  <si>
    <t>Laadimiste aeg aastas</t>
  </si>
  <si>
    <t>tuh h</t>
  </si>
  <si>
    <t>Investeering</t>
  </si>
  <si>
    <t>tuh€</t>
  </si>
  <si>
    <t>sh toetus</t>
  </si>
  <si>
    <t>Neto müügitulu</t>
  </si>
  <si>
    <t>Müügitasu kulu</t>
  </si>
  <si>
    <t>Kaoelektri kulu</t>
  </si>
  <si>
    <t>NETOKULU</t>
  </si>
  <si>
    <t>Sõiduautode läbisõit</t>
  </si>
  <si>
    <t>ICE sõiduautode kütusekulu vähenemine</t>
  </si>
  <si>
    <t>Elektrisõidukite elektrikulu kasv (bruto)</t>
  </si>
  <si>
    <t>Kaugkütte- ja kaugjahutuse arendamine1</t>
  </si>
  <si>
    <t>Selgitus</t>
  </si>
  <si>
    <t>Investeerimise aastad</t>
  </si>
  <si>
    <t>Arvutus</t>
  </si>
  <si>
    <t>Meetme rakendamise potentsiaal max</t>
  </si>
  <si>
    <t>Utilitas??</t>
  </si>
  <si>
    <t>Lisanduv tarbimise maht</t>
  </si>
  <si>
    <t>Invsteerimisperioodil aastas</t>
  </si>
  <si>
    <t>Investeeringu erikulu</t>
  </si>
  <si>
    <t>Eeldused 600k€/MW, 5000htarbimist aastas;</t>
  </si>
  <si>
    <t>Rahaline energiasääst</t>
  </si>
  <si>
    <t>Kaugküte vs lokaalküte - kui on erinevus</t>
  </si>
  <si>
    <t>Rahaline ülalpidamiskulude sääst</t>
  </si>
  <si>
    <t>EUR/MWh/a</t>
  </si>
  <si>
    <t>Energiasääst (kaug- vs lokaalküte)</t>
  </si>
  <si>
    <t>Lokaalkütte hind</t>
  </si>
  <si>
    <t>TULEMUSTE HINNANGULINE KVALITEET</t>
  </si>
  <si>
    <t>Hinnangu maksumusele</t>
  </si>
  <si>
    <t>Investeering aastas, tuh EUR</t>
  </si>
  <si>
    <t>Tulud / Investeeringud, 2021-2050</t>
  </si>
  <si>
    <r>
      <t>CO2</t>
    </r>
    <r>
      <rPr>
        <vertAlign val="subscript"/>
        <sz val="10"/>
        <color theme="1"/>
        <rFont val="Aptos Narrow"/>
        <family val="2"/>
        <scheme val="minor"/>
      </rPr>
      <t>eq</t>
    </r>
    <r>
      <rPr>
        <sz val="10"/>
        <color theme="1"/>
        <rFont val="Aptos Narrow"/>
        <family val="2"/>
        <scheme val="minor"/>
      </rPr>
      <t xml:space="preserve"> vähenemine aastas; tonni/a</t>
    </r>
  </si>
  <si>
    <t>Kütusekulu vähenemine, 2021-2050; GWh</t>
  </si>
  <si>
    <t>Lisandunud kaugkütte tarbimine aastas, MWh</t>
  </si>
  <si>
    <t>Lisandunud kaugkütte tarbimine kokku, MWh</t>
  </si>
  <si>
    <t>Kütusekulu sääst; tuh EUR</t>
  </si>
  <si>
    <t>Ülalpidamiskulude sääst, tuh EUR</t>
  </si>
  <si>
    <t>Kütusekulu vähenemine; tuh EUR</t>
  </si>
  <si>
    <t>RAHAVOOG KOKKU; tuh EUR</t>
  </si>
  <si>
    <t>Kütusekulu vähenemine; MWh</t>
  </si>
  <si>
    <t>Hoonesse tarnitud energia eriheide, tCO2 eq/MWh</t>
  </si>
  <si>
    <t>MEEDE: Looduslike pinnaste ja maakasutuse eelistamine</t>
  </si>
  <si>
    <t>Pind, ha</t>
  </si>
  <si>
    <t>Sidumine, tC/ha/a</t>
  </si>
  <si>
    <t>Rajamise kulu, €/ha</t>
  </si>
  <si>
    <t>Hoolduskulu, €/ha/a</t>
  </si>
  <si>
    <r>
      <t xml:space="preserve">Täiendavalt </t>
    </r>
    <r>
      <rPr>
        <b/>
        <sz val="10"/>
        <color theme="1"/>
        <rFont val="Aptos Narrow"/>
        <family val="2"/>
        <scheme val="minor"/>
      </rPr>
      <t>kõrghaljastuse</t>
    </r>
    <r>
      <rPr>
        <sz val="10"/>
        <color theme="1"/>
        <rFont val="Aptos Narrow"/>
        <family val="2"/>
        <charset val="186"/>
        <scheme val="minor"/>
      </rPr>
      <t xml:space="preserve"> (metsa lähedane) ala</t>
    </r>
  </si>
  <si>
    <t>https://www.tallinn.ee/et/pohja/tallinna-haljastus-hakkab-sihiparaselt-arenema?utm</t>
  </si>
  <si>
    <r>
      <t xml:space="preserve">Täiendavalt </t>
    </r>
    <r>
      <rPr>
        <b/>
        <sz val="10"/>
        <color theme="1"/>
        <rFont val="Aptos Narrow"/>
        <family val="2"/>
        <scheme val="minor"/>
      </rPr>
      <t>madalhaljastuse</t>
    </r>
    <r>
      <rPr>
        <sz val="10"/>
        <color theme="1"/>
        <rFont val="Aptos Narrow"/>
        <family val="2"/>
        <charset val="186"/>
        <scheme val="minor"/>
      </rPr>
      <t xml:space="preserve"> (põõsad, hõredalt puid) ala</t>
    </r>
  </si>
  <si>
    <r>
      <t xml:space="preserve">Täiendavalt </t>
    </r>
    <r>
      <rPr>
        <b/>
        <sz val="10"/>
        <color theme="1"/>
        <rFont val="Aptos Narrow"/>
        <family val="2"/>
        <scheme val="minor"/>
      </rPr>
      <t>rohumaa</t>
    </r>
    <r>
      <rPr>
        <sz val="10"/>
        <color theme="1"/>
        <rFont val="Aptos Narrow"/>
        <family val="2"/>
        <charset val="186"/>
        <scheme val="minor"/>
      </rPr>
      <t xml:space="preserve"> (muru, lilleaas jms) ala</t>
    </r>
  </si>
  <si>
    <t>C/CO2 koefitsient</t>
  </si>
  <si>
    <t>Pindala lisandumine</t>
  </si>
  <si>
    <t>… kõrghaljastuse (metsa lähedane) ala</t>
  </si>
  <si>
    <t>ha</t>
  </si>
  <si>
    <t>… madalhaljastus (põõsad, hõredalt puid)</t>
  </si>
  <si>
    <t>… rohumaa (muru)</t>
  </si>
  <si>
    <t>Pindala lisandumine kokku</t>
  </si>
  <si>
    <t>Tulud-kulud</t>
  </si>
  <si>
    <t>Rakendamise kulu</t>
  </si>
  <si>
    <t>Hoolduskulu muutus</t>
  </si>
  <si>
    <t>Süsiniku (C) sidumine</t>
  </si>
  <si>
    <t>tC/a</t>
  </si>
  <si>
    <t>CO2 vähendamine</t>
  </si>
  <si>
    <t>km2</t>
  </si>
  <si>
    <t>sh rohealad</t>
  </si>
  <si>
    <t>Elanike tihedus - tegelik</t>
  </si>
  <si>
    <t>in/km2</t>
  </si>
  <si>
    <t>Elanike tihedus - eesmärk</t>
  </si>
  <si>
    <t>kas tihendada linna tervikuna või keskusala - mitu keskust</t>
  </si>
  <si>
    <t>Kasv</t>
  </si>
  <si>
    <t>Autoga liikumiste vähenemine</t>
  </si>
  <si>
    <t xml:space="preserve">Suurbritannia andmetel toob elanikkonna tiheduse 20% tõus kaasa hinnanguliselt ~10% languse transpordist tulenevas CO₂ heites, eeldusel et senised liikumisharjumused säilivad. </t>
  </si>
  <si>
    <t>Liikumiste vähenemine</t>
  </si>
  <si>
    <t>Liikumiste vähenemine kokku</t>
  </si>
  <si>
    <t>Kulu-tulu</t>
  </si>
  <si>
    <t>Diislikulu muutus</t>
  </si>
  <si>
    <t>Elektrkulu muutus</t>
  </si>
  <si>
    <t>Muud sõidukite kulud</t>
  </si>
  <si>
    <t>Läbisõidud, emissioonid</t>
  </si>
  <si>
    <t>Bensiini ja diisli kulu vähenemine</t>
  </si>
  <si>
    <t>Elektrikulu vähenemine</t>
  </si>
  <si>
    <t>CO2 emissiooni vähendamine</t>
  </si>
  <si>
    <t>t CO2</t>
  </si>
  <si>
    <t>2021.a tööstuse heitkogus soojuse tarbimisest</t>
  </si>
  <si>
    <t>pole teada, kui palju tööstuse heitest saab vähendada kaugküttega liituse ja viimase heite vähendamisega!</t>
  </si>
  <si>
    <t>EUR/t</t>
  </si>
  <si>
    <t>kapitalikulu on arvestatud tegevuskuludesse</t>
  </si>
  <si>
    <t>Twehnoloogilised alternatiivid</t>
  </si>
  <si>
    <t>kulu</t>
  </si>
  <si>
    <t>Tegevusperioodi kulud_meetod1 (40-80€/t)</t>
  </si>
  <si>
    <t>Meetod: Solvent-Based Post-Combustion Capture (Amine Scrubbing)</t>
  </si>
  <si>
    <t>Tegevusperioodi kulud_meetod2 (30-60€/t</t>
  </si>
  <si>
    <t>Meetod: Pressure Swing Adsorption (PSA)</t>
  </si>
  <si>
    <t>Tegevusperioodi kulud_meetod3 (50-80€/t)</t>
  </si>
  <si>
    <t>Meetod: Membrane Separation</t>
  </si>
  <si>
    <t>HKS2 CO2e hind (reaalhind)</t>
  </si>
  <si>
    <t>€/t CO2</t>
  </si>
  <si>
    <t>Heitkoguse kulu muutus</t>
  </si>
  <si>
    <t>valemitega väärtused (soovitav mitte muuta, kaitstud parooliga)</t>
  </si>
  <si>
    <t>helesinine</t>
  </si>
  <si>
    <t>töölehe parool</t>
  </si>
  <si>
    <t>https://nylyn.solar/en-eu/blogs/solarenergy_info/buying-guide-and-costs-pv-storage-2025</t>
  </si>
  <si>
    <t>https://energiatalgud.ee/hoiamekokku</t>
  </si>
  <si>
    <t>Hinnang - sõitude pikkus, millest loobutakse jala käimise kasuks</t>
  </si>
  <si>
    <t>Hinnang - sõidud, millest loobutakse ratta kasuks</t>
  </si>
  <si>
    <t>Civitta uuring</t>
  </si>
  <si>
    <t>https://www.riigiteataja.ee/aktilisa/4030/1202/4002/Tulude%20eelarve.pdf</t>
  </si>
  <si>
    <t>https://www.tallinn.ee/et/pohja/tallinna-haljastus-hakkab-sihiparaselt-arenema</t>
  </si>
  <si>
    <t>Tallinna ringmajanduse arengukava 2035: https://www.riigiteataja.ee/akt/417062025027</t>
  </si>
  <si>
    <t>Tallinna haljastu tegevuskava aastateks 2013-2025: https://oigusaktid.tallinn.ee/?id=3001&amp;aktid=125984&amp;fd=1&amp;leht=1&amp;q_sort=elex_akt.akt_vkp</t>
  </si>
  <si>
    <t>Ühistransport*</t>
  </si>
  <si>
    <t>Ühistransport* SELGITUS: Meetmetega vähenev heide on suurem kui algne 2021. aasta heide. Seda põhjusel, et ühistranspordi meetme rakendamisel tekkiv heite vähenemine tulenebmodaalsest nihkest ning eratranspordi vähenemisest (st et inimesed hakkavad senisest enam kasutama ühistransporti). Seetõttu on mudelis võimalik ka ühistranspordi heite vähenemine rohkem, kui see 2021. aastal inventeeriti.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</si>
</sst>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
    <numFmt numFmtId="165" formatCode="0.0"/>
    <numFmt numFmtId="166" formatCode="#,##0.0"/>
    <numFmt numFmtId="167" formatCode="0.0000"/>
    <numFmt numFmtId="168" formatCode="0.0%"/>
    <numFmt numFmtId="169" formatCode="#,##0.000"/>
    <numFmt numFmtId="170" formatCode="_-* #,##0_-;\-* #,##0_-;_-* &quot;-&quot;??_-;_-@_-"/>
  </numFmts>
  <fonts count="125" x14ac:knownFonts="1">
    <font>
      <sz val="11"/>
      <color theme="1"/>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color theme="0"/>
      <name val="Aptos Narrow"/>
      <family val="2"/>
      <charset val="186"/>
      <scheme val="minor"/>
    </font>
    <font>
      <sz val="9"/>
      <color theme="0" tint="-0.249977111117893"/>
      <name val="Aptos Narrow"/>
      <family val="2"/>
      <charset val="186"/>
      <scheme val="minor"/>
    </font>
    <font>
      <sz val="11"/>
      <name val="Aptos Narrow"/>
      <family val="2"/>
      <charset val="186"/>
      <scheme val="minor"/>
    </font>
    <font>
      <b/>
      <sz val="11"/>
      <color theme="1"/>
      <name val="Aptos Narrow"/>
      <family val="2"/>
      <charset val="186"/>
      <scheme val="minor"/>
    </font>
    <font>
      <sz val="10"/>
      <color theme="1"/>
      <name val="Aptos Narrow"/>
      <family val="2"/>
      <charset val="186"/>
      <scheme val="minor"/>
    </font>
    <font>
      <vertAlign val="subscript"/>
      <sz val="11"/>
      <color theme="1"/>
      <name val="Aptos Narrow"/>
      <family val="2"/>
      <charset val="186"/>
      <scheme val="minor"/>
    </font>
    <font>
      <sz val="11"/>
      <color theme="4" tint="-0.249977111117893"/>
      <name val="Aptos Narrow"/>
      <family val="2"/>
      <charset val="186"/>
      <scheme val="minor"/>
    </font>
    <font>
      <b/>
      <sz val="10"/>
      <color theme="1"/>
      <name val="Aptos Narrow"/>
      <family val="2"/>
      <scheme val="minor"/>
    </font>
    <font>
      <sz val="10"/>
      <color theme="1"/>
      <name val="Aptos Narrow"/>
      <family val="2"/>
      <scheme val="minor"/>
    </font>
    <font>
      <b/>
      <sz val="10"/>
      <color rgb="FF000000"/>
      <name val="Aptos Narrow"/>
      <family val="2"/>
      <scheme val="minor"/>
    </font>
    <font>
      <sz val="10"/>
      <color rgb="FF000000"/>
      <name val="Aptos Narrow"/>
      <family val="2"/>
      <scheme val="minor"/>
    </font>
    <font>
      <sz val="10"/>
      <color rgb="FF242424"/>
      <name val="Aptos Narrow"/>
      <family val="2"/>
      <scheme val="minor"/>
    </font>
    <font>
      <sz val="8"/>
      <name val="Aptos Narrow"/>
      <family val="2"/>
      <scheme val="minor"/>
    </font>
    <font>
      <u/>
      <sz val="10"/>
      <color theme="10"/>
      <name val="Aptos Narrow"/>
      <family val="2"/>
      <scheme val="minor"/>
    </font>
    <font>
      <b/>
      <sz val="14"/>
      <color theme="0"/>
      <name val="Aptos Narrow"/>
      <family val="2"/>
      <scheme val="minor"/>
    </font>
    <font>
      <sz val="9"/>
      <color theme="0" tint="-0.14999847407452621"/>
      <name val="Aptos Narrow"/>
      <family val="2"/>
      <scheme val="minor"/>
    </font>
    <font>
      <b/>
      <vertAlign val="subscript"/>
      <sz val="10"/>
      <color theme="1"/>
      <name val="Aptos Narrow"/>
      <family val="2"/>
      <scheme val="minor"/>
    </font>
    <font>
      <b/>
      <i/>
      <sz val="11"/>
      <color theme="2" tint="-0.749992370372631"/>
      <name val="Aptos Narrow"/>
      <family val="2"/>
      <scheme val="minor"/>
    </font>
    <font>
      <i/>
      <sz val="10"/>
      <color theme="1"/>
      <name val="Aptos Narrow"/>
      <family val="2"/>
      <scheme val="minor"/>
    </font>
    <font>
      <sz val="11"/>
      <color theme="2" tint="-0.499984740745262"/>
      <name val="Aptos Narrow"/>
      <family val="2"/>
      <scheme val="minor"/>
    </font>
    <font>
      <i/>
      <sz val="9"/>
      <color theme="1"/>
      <name val="Aptos Narrow"/>
      <family val="2"/>
      <scheme val="minor"/>
    </font>
    <font>
      <i/>
      <sz val="9"/>
      <color indexed="8"/>
      <name val="Aptos Narrow"/>
      <family val="2"/>
      <scheme val="minor"/>
    </font>
    <font>
      <b/>
      <sz val="10"/>
      <color indexed="8"/>
      <name val="Aptos Narrow"/>
      <family val="2"/>
      <scheme val="minor"/>
    </font>
    <font>
      <sz val="10"/>
      <color indexed="8"/>
      <name val="Aptos Narrow"/>
      <family val="2"/>
      <scheme val="minor"/>
    </font>
    <font>
      <sz val="10"/>
      <color rgb="FF2E3238"/>
      <name val="Aptos Narrow"/>
      <family val="2"/>
      <scheme val="minor"/>
    </font>
    <font>
      <b/>
      <sz val="10"/>
      <color rgb="FF2E3238"/>
      <name val="Aptos Narrow"/>
      <family val="2"/>
      <scheme val="minor"/>
    </font>
    <font>
      <b/>
      <i/>
      <sz val="10"/>
      <color indexed="8"/>
      <name val="Aptos Narrow"/>
      <family val="2"/>
      <scheme val="minor"/>
    </font>
    <font>
      <b/>
      <i/>
      <sz val="10"/>
      <color theme="1"/>
      <name val="Aptos Narrow"/>
      <family val="2"/>
      <scheme val="minor"/>
    </font>
    <font>
      <sz val="11"/>
      <color indexed="8"/>
      <name val="Calibri"/>
      <family val="2"/>
    </font>
    <font>
      <b/>
      <sz val="11"/>
      <color indexed="8"/>
      <name val="Calibri"/>
      <family val="1"/>
      <charset val="204"/>
    </font>
    <font>
      <b/>
      <sz val="7"/>
      <color indexed="8"/>
      <name val="Calibri"/>
      <family val="1"/>
      <charset val="204"/>
    </font>
    <font>
      <b/>
      <sz val="9"/>
      <color indexed="8"/>
      <name val="Aptos Narrow"/>
      <family val="2"/>
      <scheme val="minor"/>
    </font>
    <font>
      <b/>
      <sz val="9"/>
      <color indexed="8"/>
      <name val="Calibri"/>
      <family val="1"/>
      <charset val="204"/>
    </font>
    <font>
      <sz val="11"/>
      <color theme="1"/>
      <name val="Aptos Narrow"/>
      <family val="2"/>
      <scheme val="minor"/>
    </font>
    <font>
      <sz val="9"/>
      <color theme="1"/>
      <name val="Aptos Narrow"/>
      <family val="2"/>
      <scheme val="minor"/>
    </font>
    <font>
      <i/>
      <sz val="9"/>
      <name val="Aptos Narrow"/>
      <family val="2"/>
      <scheme val="minor"/>
    </font>
    <font>
      <b/>
      <sz val="11"/>
      <color theme="0" tint="-0.34998626667073579"/>
      <name val="Aptos Narrow"/>
      <family val="2"/>
      <scheme val="minor"/>
    </font>
    <font>
      <sz val="9"/>
      <color theme="0" tint="-0.34998626667073579"/>
      <name val="Aptos Narrow"/>
      <family val="2"/>
      <scheme val="minor"/>
    </font>
    <font>
      <sz val="11"/>
      <color theme="0" tint="-0.34998626667073579"/>
      <name val="Aptos Narrow"/>
      <family val="2"/>
      <scheme val="minor"/>
    </font>
    <font>
      <u/>
      <sz val="9"/>
      <color theme="10"/>
      <name val="Aptos Narrow"/>
      <family val="2"/>
      <scheme val="minor"/>
    </font>
    <font>
      <sz val="9"/>
      <color indexed="81"/>
      <name val="Tahoma"/>
      <family val="2"/>
    </font>
    <font>
      <sz val="11"/>
      <color theme="1"/>
      <name val="Aptos Narrow"/>
      <family val="2"/>
      <charset val="186"/>
      <scheme val="minor"/>
    </font>
    <font>
      <sz val="10"/>
      <color rgb="FFFF0000"/>
      <name val="Aptos Narrow"/>
      <family val="2"/>
      <scheme val="minor"/>
    </font>
    <font>
      <vertAlign val="subscript"/>
      <sz val="10"/>
      <color theme="1"/>
      <name val="Aptos Narrow"/>
      <family val="2"/>
      <scheme val="minor"/>
    </font>
    <font>
      <b/>
      <sz val="10"/>
      <color indexed="8"/>
      <name val="Calibri"/>
      <family val="1"/>
      <charset val="204"/>
    </font>
    <font>
      <b/>
      <sz val="10"/>
      <name val="Aptos Narrow"/>
      <family val="2"/>
      <scheme val="minor"/>
    </font>
    <font>
      <b/>
      <sz val="11"/>
      <color rgb="FF000000"/>
      <name val="Aptos Narrow"/>
      <family val="2"/>
      <scheme val="minor"/>
    </font>
    <font>
      <sz val="10"/>
      <name val="Aptos"/>
      <family val="2"/>
    </font>
    <font>
      <b/>
      <sz val="10"/>
      <color indexed="8"/>
      <name val="Aptos"/>
      <family val="2"/>
    </font>
    <font>
      <sz val="10"/>
      <color indexed="8"/>
      <name val="Aptos"/>
      <family val="2"/>
    </font>
    <font>
      <b/>
      <i/>
      <sz val="10"/>
      <color indexed="57"/>
      <name val="Aptos"/>
      <family val="2"/>
    </font>
    <font>
      <i/>
      <sz val="10"/>
      <color indexed="8"/>
      <name val="Aptos"/>
      <family val="2"/>
    </font>
    <font>
      <b/>
      <i/>
      <sz val="10"/>
      <name val="Aptos"/>
      <family val="2"/>
    </font>
    <font>
      <sz val="9"/>
      <color theme="0" tint="-0.249977111117893"/>
      <name val="Aptos Narrow"/>
      <family val="2"/>
      <scheme val="minor"/>
    </font>
    <font>
      <sz val="11"/>
      <name val="Aptos Narrow"/>
      <family val="2"/>
      <scheme val="minor"/>
    </font>
    <font>
      <sz val="11"/>
      <color theme="4" tint="-0.249977111117893"/>
      <name val="Aptos Narrow"/>
      <family val="2"/>
      <scheme val="minor"/>
    </font>
    <font>
      <sz val="10"/>
      <name val="Aptos Narrow"/>
      <family val="2"/>
      <scheme val="minor"/>
    </font>
    <font>
      <b/>
      <sz val="11"/>
      <color theme="0"/>
      <name val="Aptos Narrow"/>
      <family val="2"/>
      <scheme val="minor"/>
    </font>
    <font>
      <b/>
      <sz val="12"/>
      <color theme="0"/>
      <name val="Aptos Narrow"/>
      <family val="2"/>
      <scheme val="minor"/>
    </font>
    <font>
      <sz val="10"/>
      <color theme="0" tint="-0.14999847407452621"/>
      <name val="Aptos Narrow"/>
      <family val="2"/>
      <scheme val="minor"/>
    </font>
    <font>
      <i/>
      <sz val="10"/>
      <color rgb="FFC00000"/>
      <name val="Aptos Narrow"/>
      <family val="2"/>
      <scheme val="minor"/>
    </font>
    <font>
      <b/>
      <i/>
      <sz val="9"/>
      <color theme="1"/>
      <name val="Aptos Narrow"/>
      <family val="2"/>
      <scheme val="minor"/>
    </font>
    <font>
      <b/>
      <sz val="9"/>
      <color indexed="81"/>
      <name val="Tahoma"/>
      <family val="2"/>
    </font>
    <font>
      <i/>
      <u/>
      <sz val="10"/>
      <color theme="10"/>
      <name val="Aptos Narrow"/>
      <family val="2"/>
      <scheme val="minor"/>
    </font>
    <font>
      <sz val="10"/>
      <color theme="1"/>
      <name val="Aptos"/>
      <family val="2"/>
    </font>
    <font>
      <b/>
      <sz val="11"/>
      <color indexed="8"/>
      <name val="Aptos Narrow"/>
      <family val="2"/>
      <scheme val="minor"/>
    </font>
    <font>
      <sz val="9"/>
      <color theme="2" tint="-0.749992370372631"/>
      <name val="Aptos Narrow"/>
      <family val="2"/>
      <scheme val="minor"/>
    </font>
    <font>
      <sz val="12"/>
      <color theme="1"/>
      <name val="Aptos Narrow"/>
      <family val="2"/>
      <scheme val="minor"/>
    </font>
    <font>
      <b/>
      <sz val="10"/>
      <name val="Arial"/>
      <family val="2"/>
    </font>
    <font>
      <sz val="10"/>
      <name val="Arial"/>
      <family val="2"/>
    </font>
    <font>
      <sz val="10"/>
      <color rgb="FFC00000"/>
      <name val="Aptos Narrow"/>
      <family val="2"/>
      <scheme val="minor"/>
    </font>
    <font>
      <i/>
      <sz val="10"/>
      <color rgb="FFFF0000"/>
      <name val="Aptos Narrow"/>
      <family val="2"/>
      <scheme val="minor"/>
    </font>
    <font>
      <b/>
      <sz val="10"/>
      <color theme="0"/>
      <name val="Aptos Narrow"/>
      <family val="2"/>
      <scheme val="minor"/>
    </font>
    <font>
      <b/>
      <sz val="10"/>
      <color rgb="FFC00000"/>
      <name val="Aptos Narrow"/>
      <family val="2"/>
      <scheme val="minor"/>
    </font>
    <font>
      <b/>
      <vertAlign val="superscript"/>
      <sz val="10"/>
      <color theme="1"/>
      <name val="Aptos Narrow"/>
      <family val="2"/>
      <scheme val="minor"/>
    </font>
    <font>
      <i/>
      <vertAlign val="superscript"/>
      <sz val="10"/>
      <color theme="1"/>
      <name val="Aptos Narrow"/>
      <family val="2"/>
      <scheme val="minor"/>
    </font>
    <font>
      <sz val="10"/>
      <color theme="2"/>
      <name val="Aptos Narrow"/>
      <family val="2"/>
      <scheme val="minor"/>
    </font>
    <font>
      <sz val="10"/>
      <color theme="1"/>
      <name val="Aptos Narrow"/>
      <family val="2"/>
      <charset val="186"/>
    </font>
    <font>
      <sz val="10"/>
      <color theme="1"/>
      <name val="Aptos Narrow"/>
      <family val="2"/>
    </font>
    <font>
      <sz val="10"/>
      <color rgb="FFFF0000"/>
      <name val="Aptos Narrow"/>
      <family val="2"/>
      <charset val="186"/>
      <scheme val="minor"/>
    </font>
    <font>
      <i/>
      <sz val="11"/>
      <color theme="1"/>
      <name val="Aptos Narrow"/>
      <family val="2"/>
      <scheme val="minor"/>
    </font>
    <font>
      <sz val="11"/>
      <color rgb="FFFF0000"/>
      <name val="Aptos Narrow"/>
      <family val="2"/>
      <scheme val="minor"/>
    </font>
    <font>
      <sz val="9"/>
      <color rgb="FFFF0000"/>
      <name val="Aptos Narrow"/>
      <family val="2"/>
      <scheme val="minor"/>
    </font>
    <font>
      <sz val="10"/>
      <color theme="0" tint="-0.249977111117893"/>
      <name val="Aptos Narrow"/>
      <family val="2"/>
      <scheme val="minor"/>
    </font>
    <font>
      <b/>
      <sz val="10"/>
      <color theme="2" tint="-0.499984740745262"/>
      <name val="Aptos Narrow"/>
      <family val="2"/>
      <scheme val="minor"/>
    </font>
    <font>
      <sz val="11"/>
      <color theme="0" tint="-0.14999847407452621"/>
      <name val="Aptos Narrow"/>
      <family val="2"/>
      <scheme val="minor"/>
    </font>
    <font>
      <i/>
      <sz val="9"/>
      <color rgb="FFFF0000"/>
      <name val="Aptos Narrow"/>
      <family val="2"/>
      <scheme val="minor"/>
    </font>
    <font>
      <sz val="10"/>
      <color theme="2" tint="-0.249977111117893"/>
      <name val="Aptos Narrow"/>
      <family val="2"/>
      <scheme val="minor"/>
    </font>
    <font>
      <b/>
      <sz val="9"/>
      <color theme="0" tint="-0.249977111117893"/>
      <name val="Aptos Narrow"/>
      <family val="2"/>
      <scheme val="minor"/>
    </font>
    <font>
      <sz val="10"/>
      <color theme="3"/>
      <name val="Aptos Narrow"/>
      <family val="2"/>
      <scheme val="minor"/>
    </font>
    <font>
      <sz val="11"/>
      <color rgb="FFFFC857"/>
      <name val="Poppins"/>
      <charset val="186"/>
    </font>
    <font>
      <b/>
      <sz val="11"/>
      <color theme="0"/>
      <name val="Poppins"/>
      <charset val="186"/>
    </font>
    <font>
      <b/>
      <vertAlign val="subscript"/>
      <sz val="10"/>
      <color theme="0"/>
      <name val="Aptos Narrow"/>
      <family val="2"/>
      <scheme val="minor"/>
    </font>
    <font>
      <sz val="10"/>
      <color theme="0"/>
      <name val="Aptos Narrow"/>
      <family val="2"/>
      <scheme val="minor"/>
    </font>
    <font>
      <b/>
      <sz val="11"/>
      <name val="Aptos Narrow"/>
      <family val="2"/>
      <scheme val="minor"/>
    </font>
    <font>
      <b/>
      <sz val="11"/>
      <name val="Aptos Narrow"/>
      <family val="2"/>
      <charset val="186"/>
      <scheme val="minor"/>
    </font>
    <font>
      <b/>
      <i/>
      <sz val="11"/>
      <name val="Aptos Narrow"/>
      <family val="2"/>
      <scheme val="minor"/>
    </font>
    <font>
      <b/>
      <i/>
      <u/>
      <sz val="11"/>
      <name val="Aptos Narrow"/>
      <family val="2"/>
      <scheme val="minor"/>
    </font>
    <font>
      <i/>
      <sz val="10"/>
      <name val="Aptos Narrow"/>
      <family val="2"/>
      <scheme val="minor"/>
    </font>
    <font>
      <b/>
      <sz val="9"/>
      <name val="Calibri"/>
      <family val="1"/>
      <charset val="204"/>
    </font>
    <font>
      <b/>
      <sz val="7"/>
      <name val="Calibri"/>
      <family val="1"/>
      <charset val="204"/>
    </font>
    <font>
      <b/>
      <sz val="11"/>
      <name val="Calibri"/>
      <family val="1"/>
      <charset val="204"/>
    </font>
    <font>
      <b/>
      <sz val="10"/>
      <name val="Calibri"/>
      <family val="1"/>
      <charset val="204"/>
    </font>
    <font>
      <sz val="10"/>
      <name val="Aptos Narrow"/>
      <family val="2"/>
      <charset val="186"/>
      <scheme val="minor"/>
    </font>
    <font>
      <b/>
      <i/>
      <sz val="11"/>
      <name val="Aptos Narrow"/>
      <family val="2"/>
      <charset val="186"/>
      <scheme val="minor"/>
    </font>
    <font>
      <b/>
      <sz val="10"/>
      <name val="Aptos Narrow"/>
      <family val="2"/>
      <charset val="186"/>
      <scheme val="minor"/>
    </font>
    <font>
      <b/>
      <i/>
      <sz val="10"/>
      <name val="Aptos Narrow"/>
      <family val="2"/>
      <charset val="186"/>
      <scheme val="minor"/>
    </font>
    <font>
      <b/>
      <i/>
      <sz val="9"/>
      <name val="Aptos Narrow"/>
      <family val="2"/>
      <charset val="186"/>
      <scheme val="minor"/>
    </font>
    <font>
      <b/>
      <sz val="11"/>
      <name val="Calibri"/>
      <family val="2"/>
      <charset val="186"/>
    </font>
    <font>
      <b/>
      <sz val="9"/>
      <name val="Aptos Narrow"/>
      <family val="2"/>
      <charset val="186"/>
      <scheme val="minor"/>
    </font>
    <font>
      <b/>
      <u/>
      <sz val="11"/>
      <name val="Aptos Narrow"/>
      <family val="2"/>
      <charset val="186"/>
      <scheme val="minor"/>
    </font>
    <font>
      <i/>
      <sz val="11"/>
      <name val="Aptos Narrow"/>
      <family val="2"/>
      <charset val="186"/>
      <scheme val="minor"/>
    </font>
    <font>
      <i/>
      <sz val="9"/>
      <name val="Aptos Narrow"/>
      <family val="2"/>
      <charset val="186"/>
      <scheme val="minor"/>
    </font>
    <font>
      <sz val="7"/>
      <name val="Calibri"/>
      <family val="1"/>
      <charset val="204"/>
    </font>
    <font>
      <sz val="11"/>
      <name val="Calibri"/>
      <family val="1"/>
      <charset val="204"/>
    </font>
    <font>
      <i/>
      <sz val="10"/>
      <name val="Aptos Narrow"/>
      <family val="2"/>
      <charset val="186"/>
      <scheme val="minor"/>
    </font>
    <font>
      <u/>
      <sz val="9"/>
      <name val="Aptos Narrow"/>
      <family val="2"/>
      <scheme val="minor"/>
    </font>
    <font>
      <b/>
      <sz val="11"/>
      <color rgb="FFFAF5E9"/>
      <name val="Aptos Narrow"/>
      <family val="2"/>
      <scheme val="minor"/>
    </font>
    <font>
      <sz val="10"/>
      <color theme="0"/>
      <name val="Aptos Narrow"/>
      <family val="2"/>
      <charset val="186"/>
      <scheme val="minor"/>
    </font>
    <font>
      <sz val="9"/>
      <color theme="0"/>
      <name val="Aptos Narrow"/>
      <family val="2"/>
      <scheme val="minor"/>
    </font>
    <font>
      <sz val="9"/>
      <color indexed="81"/>
      <name val="Tahoma"/>
      <family val="2"/>
      <charset val="186"/>
    </font>
  </fonts>
  <fills count="34">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79998168889431442"/>
        <bgColor rgb="FF000000"/>
      </patternFill>
    </fill>
    <fill>
      <patternFill patternType="solid">
        <fgColor theme="3" tint="0.89999084444715716"/>
        <bgColor rgb="FF000000"/>
      </patternFill>
    </fill>
    <fill>
      <patternFill patternType="solid">
        <fgColor theme="5" tint="0.79998168889431442"/>
        <bgColor rgb="FF000000"/>
      </patternFill>
    </fill>
    <fill>
      <patternFill patternType="solid">
        <fgColor theme="5" tint="0.79998168889431442"/>
        <bgColor indexed="64"/>
      </patternFill>
    </fill>
    <fill>
      <patternFill patternType="solid">
        <fgColor rgb="FFDDD9C4"/>
        <bgColor rgb="FF000000"/>
      </patternFill>
    </fill>
    <fill>
      <patternFill patternType="solid">
        <fgColor theme="4" tint="0.79998168889431442"/>
        <bgColor rgb="FF000000"/>
      </patternFill>
    </fill>
    <fill>
      <patternFill patternType="solid">
        <fgColor rgb="FFFFFF00"/>
        <bgColor rgb="FF000000"/>
      </patternFill>
    </fill>
    <fill>
      <patternFill patternType="solid">
        <fgColor theme="6" tint="0.39997558519241921"/>
        <bgColor rgb="FF000000"/>
      </patternFill>
    </fill>
    <fill>
      <patternFill patternType="solid">
        <fgColor theme="9" tint="-0.249977111117893"/>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CCCCCC"/>
        <bgColor indexed="64"/>
      </patternFill>
    </fill>
    <fill>
      <patternFill patternType="solid">
        <fgColor rgb="FFFFC000"/>
        <bgColor indexed="64"/>
      </patternFill>
    </fill>
    <fill>
      <patternFill patternType="solid">
        <fgColor theme="9" tint="0.39997558519241921"/>
        <bgColor rgb="FF000000"/>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59999389629810485"/>
        <bgColor indexed="64"/>
      </patternFill>
    </fill>
    <fill>
      <patternFill patternType="solid">
        <fgColor rgb="FF000C8D"/>
        <bgColor indexed="64"/>
      </patternFill>
    </fill>
    <fill>
      <patternFill patternType="solid">
        <fgColor rgb="FFFAF5E9"/>
        <bgColor indexed="64"/>
      </patternFill>
    </fill>
    <fill>
      <patternFill patternType="solid">
        <fgColor rgb="FF000C8D"/>
        <bgColor theme="4"/>
      </patternFill>
    </fill>
    <fill>
      <patternFill patternType="solid">
        <fgColor rgb="FFFAF5E9"/>
        <bgColor theme="4" tint="0.79998168889431442"/>
      </patternFill>
    </fill>
  </fills>
  <borders count="74">
    <border>
      <left/>
      <right/>
      <top/>
      <bottom/>
      <diagonal/>
    </border>
    <border>
      <left style="hair">
        <color theme="0"/>
      </left>
      <right style="hair">
        <color theme="0"/>
      </right>
      <top style="hair">
        <color theme="0"/>
      </top>
      <bottom style="hair">
        <color theme="0"/>
      </bottom>
      <diagonal/>
    </border>
    <border>
      <left style="medium">
        <color theme="0"/>
      </left>
      <right style="medium">
        <color theme="0"/>
      </right>
      <top style="medium">
        <color theme="0"/>
      </top>
      <bottom style="medium">
        <color theme="0"/>
      </bottom>
      <diagonal/>
    </border>
    <border>
      <left style="hair">
        <color theme="0"/>
      </left>
      <right/>
      <top style="hair">
        <color theme="0"/>
      </top>
      <bottom style="hair">
        <color theme="0"/>
      </bottom>
      <diagonal/>
    </border>
    <border>
      <left/>
      <right style="hair">
        <color theme="0"/>
      </right>
      <top/>
      <bottom/>
      <diagonal/>
    </border>
    <border>
      <left style="thin">
        <color theme="9" tint="0.59999389629810485"/>
      </left>
      <right style="thin">
        <color theme="9" tint="0.59999389629810485"/>
      </right>
      <top style="thin">
        <color theme="9" tint="0.59999389629810485"/>
      </top>
      <bottom style="thin">
        <color theme="9" tint="0.59999389629810485"/>
      </bottom>
      <diagonal/>
    </border>
    <border>
      <left style="thin">
        <color theme="9" tint="0.59999389629810485"/>
      </left>
      <right style="thin">
        <color theme="9" tint="0.59999389629810485"/>
      </right>
      <top style="thin">
        <color theme="9" tint="0.59999389629810485"/>
      </top>
      <bottom/>
      <diagonal/>
    </border>
    <border>
      <left style="thin">
        <color theme="9" tint="0.59999389629810485"/>
      </left>
      <right style="thin">
        <color theme="9" tint="0.59999389629810485"/>
      </right>
      <top/>
      <bottom style="thin">
        <color theme="9" tint="0.59999389629810485"/>
      </bottom>
      <diagonal/>
    </border>
    <border>
      <left style="thin">
        <color theme="9" tint="0.59999389629810485"/>
      </left>
      <right/>
      <top style="thin">
        <color theme="9" tint="0.59999389629810485"/>
      </top>
      <bottom style="thin">
        <color theme="9" tint="0.59999389629810485"/>
      </bottom>
      <diagonal/>
    </border>
    <border>
      <left/>
      <right style="thin">
        <color theme="9" tint="0.59999389629810485"/>
      </right>
      <top style="thin">
        <color theme="9" tint="0.59999389629810485"/>
      </top>
      <bottom style="thin">
        <color theme="9" tint="0.59999389629810485"/>
      </bottom>
      <diagonal/>
    </border>
    <border>
      <left/>
      <right style="medium">
        <color theme="0"/>
      </right>
      <top style="medium">
        <color theme="0"/>
      </top>
      <bottom style="medium">
        <color theme="0"/>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24994659260841701"/>
      </top>
      <bottom style="thin">
        <color theme="0" tint="-0.24994659260841701"/>
      </bottom>
      <diagonal/>
    </border>
    <border>
      <left/>
      <right/>
      <top style="thin">
        <color theme="9" tint="0.59999389629810485"/>
      </top>
      <bottom/>
      <diagonal/>
    </border>
    <border>
      <left/>
      <right/>
      <top/>
      <bottom style="thin">
        <color theme="0" tint="-0.24994659260841701"/>
      </bottom>
      <diagonal/>
    </border>
    <border>
      <left/>
      <right/>
      <top style="thin">
        <color theme="0" tint="-0.24994659260841701"/>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thin">
        <color rgb="FF000000"/>
      </bottom>
      <diagonal/>
    </border>
    <border>
      <left/>
      <right/>
      <top/>
      <bottom style="thin">
        <color indexed="64"/>
      </bottom>
      <diagonal/>
    </border>
    <border>
      <left/>
      <right/>
      <top/>
      <bottom style="thick">
        <color rgb="FF9D9FB4"/>
      </bottom>
      <diagonal/>
    </border>
    <border>
      <left/>
      <right/>
      <top style="dotted">
        <color rgb="FF9D9FB4"/>
      </top>
      <bottom/>
      <diagonal/>
    </border>
    <border>
      <left/>
      <right/>
      <top/>
      <bottom style="dotted">
        <color rgb="FFCCCCCC"/>
      </bottom>
      <diagonal/>
    </border>
    <border>
      <left/>
      <right/>
      <top style="dotted">
        <color rgb="FF9D9FB4"/>
      </top>
      <bottom style="dotted">
        <color rgb="FFCCCCCC"/>
      </bottom>
      <diagonal/>
    </border>
    <border>
      <left/>
      <right/>
      <top style="dotted">
        <color rgb="FF9D9FB4"/>
      </top>
      <bottom style="medium">
        <color rgb="FF9D9FB4"/>
      </bottom>
      <diagonal/>
    </border>
    <border>
      <left style="hair">
        <color theme="0"/>
      </left>
      <right style="hair">
        <color theme="0"/>
      </right>
      <top style="hair">
        <color theme="0"/>
      </top>
      <bottom/>
      <diagonal/>
    </border>
    <border>
      <left style="hair">
        <color theme="0"/>
      </left>
      <right style="hair">
        <color theme="0"/>
      </right>
      <top/>
      <bottom/>
      <diagonal/>
    </border>
    <border>
      <left style="hair">
        <color theme="0"/>
      </left>
      <right style="hair">
        <color theme="0"/>
      </right>
      <top/>
      <bottom style="hair">
        <color theme="0"/>
      </bottom>
      <diagonal/>
    </border>
    <border>
      <left style="thin">
        <color theme="9" tint="0.59999389629810485"/>
      </left>
      <right style="thin">
        <color theme="9" tint="0.59999389629810485"/>
      </right>
      <top/>
      <bottom/>
      <diagonal/>
    </border>
    <border>
      <left style="thin">
        <color theme="4" tint="0.39997558519241921"/>
      </left>
      <right/>
      <top style="thin">
        <color theme="4" tint="0.39997558519241921"/>
      </top>
      <bottom/>
      <diagonal/>
    </border>
    <border>
      <left/>
      <right/>
      <top/>
      <bottom style="hair">
        <color theme="0"/>
      </bottom>
      <diagonal/>
    </border>
    <border>
      <left style="thin">
        <color theme="2"/>
      </left>
      <right style="thin">
        <color theme="2"/>
      </right>
      <top style="thin">
        <color theme="2"/>
      </top>
      <bottom style="thin">
        <color theme="2"/>
      </bottom>
      <diagonal/>
    </border>
    <border>
      <left/>
      <right/>
      <top style="hair">
        <color theme="0"/>
      </top>
      <bottom style="hair">
        <color theme="0"/>
      </bottom>
      <diagonal/>
    </border>
    <border>
      <left/>
      <right/>
      <top style="hair">
        <color theme="0"/>
      </top>
      <bottom style="thin">
        <color theme="2" tint="-0.249977111117893"/>
      </bottom>
      <diagonal/>
    </border>
    <border>
      <left/>
      <right style="thin">
        <color rgb="FFFFC857"/>
      </right>
      <top/>
      <bottom/>
      <diagonal/>
    </border>
    <border>
      <left style="thin">
        <color rgb="FFFFC857"/>
      </left>
      <right style="thin">
        <color rgb="FFFFC857"/>
      </right>
      <top/>
      <bottom/>
      <diagonal/>
    </border>
    <border>
      <left style="thin">
        <color rgb="FFFFC857"/>
      </left>
      <right/>
      <top/>
      <bottom/>
      <diagonal/>
    </border>
    <border>
      <left style="hair">
        <color theme="0"/>
      </left>
      <right/>
      <top style="hair">
        <color theme="0"/>
      </top>
      <bottom/>
      <diagonal/>
    </border>
    <border>
      <left style="thin">
        <color rgb="FFFFC857"/>
      </left>
      <right/>
      <top style="hair">
        <color theme="0"/>
      </top>
      <bottom/>
      <diagonal/>
    </border>
    <border>
      <left style="thin">
        <color rgb="FFFFC857"/>
      </left>
      <right/>
      <top/>
      <bottom style="thin">
        <color theme="2"/>
      </bottom>
      <diagonal/>
    </border>
    <border>
      <left style="thin">
        <color rgb="FFFFC857"/>
      </left>
      <right style="thin">
        <color rgb="FFFFC857"/>
      </right>
      <top style="thin">
        <color theme="2"/>
      </top>
      <bottom style="thin">
        <color theme="2"/>
      </bottom>
      <diagonal/>
    </border>
    <border>
      <left style="thin">
        <color rgb="FFFFC857"/>
      </left>
      <right style="thin">
        <color rgb="FFFFC857"/>
      </right>
      <top style="thin">
        <color theme="2"/>
      </top>
      <bottom style="thin">
        <color theme="2" tint="-0.249977111117893"/>
      </bottom>
      <diagonal/>
    </border>
    <border>
      <left/>
      <right style="thin">
        <color rgb="FFFFC857"/>
      </right>
      <top/>
      <bottom style="hair">
        <color theme="0"/>
      </bottom>
      <diagonal/>
    </border>
    <border>
      <left style="thin">
        <color rgb="FFFFC857"/>
      </left>
      <right style="thin">
        <color rgb="FFFFC857"/>
      </right>
      <top/>
      <bottom style="hair">
        <color theme="0"/>
      </bottom>
      <diagonal/>
    </border>
    <border>
      <left style="thin">
        <color rgb="FFFFC857"/>
      </left>
      <right style="thin">
        <color rgb="FFFFC857"/>
      </right>
      <top/>
      <bottom style="thin">
        <color theme="2"/>
      </bottom>
      <diagonal/>
    </border>
    <border>
      <left style="thin">
        <color rgb="FFFFC857"/>
      </left>
      <right style="hair">
        <color theme="0"/>
      </right>
      <top/>
      <bottom/>
      <diagonal/>
    </border>
    <border>
      <left style="thin">
        <color rgb="FFFFC857"/>
      </left>
      <right style="thin">
        <color rgb="FFFFC857"/>
      </right>
      <top style="thin">
        <color theme="2"/>
      </top>
      <bottom/>
      <diagonal/>
    </border>
    <border>
      <left/>
      <right style="thin">
        <color theme="2"/>
      </right>
      <top style="thin">
        <color theme="2"/>
      </top>
      <bottom style="thin">
        <color theme="2"/>
      </bottom>
      <diagonal/>
    </border>
    <border>
      <left/>
      <right style="thin">
        <color theme="2"/>
      </right>
      <top style="thin">
        <color theme="2"/>
      </top>
      <bottom style="thin">
        <color theme="2" tint="-0.249977111117893"/>
      </bottom>
      <diagonal/>
    </border>
    <border>
      <left/>
      <right style="thin">
        <color theme="2"/>
      </right>
      <top/>
      <bottom style="thin">
        <color theme="2"/>
      </bottom>
      <diagonal/>
    </border>
    <border>
      <left style="thin">
        <color rgb="FFFFC857"/>
      </left>
      <right/>
      <top/>
      <bottom style="hair">
        <color theme="0"/>
      </bottom>
      <diagonal/>
    </border>
    <border>
      <left/>
      <right style="thin">
        <color rgb="FFFFC857"/>
      </right>
      <top style="thin">
        <color theme="2"/>
      </top>
      <bottom style="thin">
        <color theme="2"/>
      </bottom>
      <diagonal/>
    </border>
    <border>
      <left style="thin">
        <color rgb="FFFFC857"/>
      </left>
      <right/>
      <top style="thin">
        <color theme="2"/>
      </top>
      <bottom style="thin">
        <color theme="2"/>
      </bottom>
      <diagonal/>
    </border>
    <border>
      <left/>
      <right style="thin">
        <color rgb="FFFFC857"/>
      </right>
      <top style="thin">
        <color theme="2"/>
      </top>
      <bottom style="thin">
        <color theme="2" tint="-0.249977111117893"/>
      </bottom>
      <diagonal/>
    </border>
    <border>
      <left style="thin">
        <color rgb="FFFFC857"/>
      </left>
      <right/>
      <top style="thin">
        <color theme="2"/>
      </top>
      <bottom style="thin">
        <color theme="2" tint="-0.249977111117893"/>
      </bottom>
      <diagonal/>
    </border>
    <border>
      <left/>
      <right style="thin">
        <color rgb="FFFFC857"/>
      </right>
      <top/>
      <bottom style="thin">
        <color theme="2"/>
      </bottom>
      <diagonal/>
    </border>
    <border>
      <left/>
      <right style="thin">
        <color rgb="FFFFC857"/>
      </right>
      <top style="thin">
        <color theme="2"/>
      </top>
      <bottom/>
      <diagonal/>
    </border>
    <border>
      <left style="thin">
        <color rgb="FFFFC857"/>
      </left>
      <right/>
      <top style="thin">
        <color theme="2"/>
      </top>
      <bottom/>
      <diagonal/>
    </border>
    <border>
      <left/>
      <right/>
      <top style="hair">
        <color theme="0"/>
      </top>
      <bottom/>
      <diagonal/>
    </border>
    <border>
      <left style="hair">
        <color theme="0"/>
      </left>
      <right style="hair">
        <color rgb="FFFFC857"/>
      </right>
      <top style="hair">
        <color theme="0"/>
      </top>
      <bottom/>
      <diagonal/>
    </border>
    <border>
      <left style="hair">
        <color rgb="FFFFC857"/>
      </left>
      <right style="hair">
        <color rgb="FFFFC857"/>
      </right>
      <top style="hair">
        <color theme="0"/>
      </top>
      <bottom/>
      <diagonal/>
    </border>
    <border>
      <left style="hair">
        <color rgb="FFFFC857"/>
      </left>
      <right style="thin">
        <color theme="2"/>
      </right>
      <top style="hair">
        <color theme="0"/>
      </top>
      <bottom/>
      <diagonal/>
    </border>
    <border>
      <left style="thin">
        <color rgb="FFFFC857"/>
      </left>
      <right style="thin">
        <color rgb="FFFFC857"/>
      </right>
      <top style="thin">
        <color theme="9" tint="0.59999389629810485"/>
      </top>
      <bottom/>
      <diagonal/>
    </border>
    <border>
      <left style="thin">
        <color rgb="FFFFC857"/>
      </left>
      <right/>
      <top style="thin">
        <color theme="9" tint="0.59999389629810485"/>
      </top>
      <bottom/>
      <diagonal/>
    </border>
    <border>
      <left style="thin">
        <color rgb="FFFFC857"/>
      </left>
      <right style="thin">
        <color theme="9" tint="0.59999389629810485"/>
      </right>
      <top/>
      <bottom/>
      <diagonal/>
    </border>
    <border>
      <left/>
      <right style="hair">
        <color theme="0"/>
      </right>
      <top style="hair">
        <color theme="0"/>
      </top>
      <bottom style="hair">
        <color theme="0"/>
      </bottom>
      <diagonal/>
    </border>
    <border>
      <left style="thin">
        <color rgb="FFFFC857"/>
      </left>
      <right style="thin">
        <color rgb="FFFFC857"/>
      </right>
      <top style="thin">
        <color rgb="FFFFC857"/>
      </top>
      <bottom style="thin">
        <color rgb="FFFFC857"/>
      </bottom>
      <diagonal/>
    </border>
  </borders>
  <cellStyleXfs count="5">
    <xf numFmtId="0" fontId="0" fillId="0" borderId="0"/>
    <xf numFmtId="0" fontId="3" fillId="0" borderId="0" applyNumberFormat="0" applyFill="0" applyBorder="0" applyAlignment="0" applyProtection="0"/>
    <xf numFmtId="9" fontId="37" fillId="0" borderId="0" applyFont="0" applyFill="0" applyBorder="0" applyAlignment="0" applyProtection="0"/>
    <xf numFmtId="0" fontId="45" fillId="0" borderId="0"/>
    <xf numFmtId="43" fontId="37" fillId="0" borderId="0" applyFont="0" applyFill="0" applyBorder="0" applyAlignment="0" applyProtection="0"/>
  </cellStyleXfs>
  <cellXfs count="1019">
    <xf numFmtId="0" fontId="0" fillId="0" borderId="0" xfId="0"/>
    <xf numFmtId="0" fontId="0" fillId="2" borderId="0" xfId="0" applyFill="1"/>
    <xf numFmtId="0" fontId="4" fillId="2" borderId="0" xfId="0" applyFont="1" applyFill="1"/>
    <xf numFmtId="0" fontId="6" fillId="2" borderId="0" xfId="0" applyFont="1" applyFill="1"/>
    <xf numFmtId="0" fontId="7" fillId="2" borderId="0" xfId="0" applyFont="1" applyFill="1" applyAlignment="1">
      <alignment horizontal="left"/>
    </xf>
    <xf numFmtId="0" fontId="0" fillId="4" borderId="0" xfId="0" applyFill="1"/>
    <xf numFmtId="0" fontId="8" fillId="2" borderId="0" xfId="0" applyFont="1" applyFill="1" applyAlignment="1">
      <alignment horizontal="right"/>
    </xf>
    <xf numFmtId="0" fontId="8" fillId="2" borderId="0" xfId="0" applyFont="1" applyFill="1" applyAlignment="1">
      <alignment horizontal="left"/>
    </xf>
    <xf numFmtId="0" fontId="7" fillId="2" borderId="0" xfId="0" applyFont="1" applyFill="1"/>
    <xf numFmtId="9" fontId="10" fillId="2" borderId="0" xfId="0" applyNumberFormat="1" applyFont="1" applyFill="1"/>
    <xf numFmtId="0" fontId="7" fillId="2" borderId="0" xfId="0" applyFont="1" applyFill="1" applyAlignment="1">
      <alignment horizontal="center"/>
    </xf>
    <xf numFmtId="3" fontId="8" fillId="2" borderId="0" xfId="0" applyNumberFormat="1" applyFont="1" applyFill="1" applyAlignment="1">
      <alignment horizontal="center"/>
    </xf>
    <xf numFmtId="0" fontId="5" fillId="2" borderId="0" xfId="0" applyFont="1" applyFill="1" applyAlignment="1">
      <alignment vertical="top"/>
    </xf>
    <xf numFmtId="0" fontId="1" fillId="2" borderId="0" xfId="0" applyFont="1" applyFill="1"/>
    <xf numFmtId="0" fontId="12" fillId="6" borderId="0" xfId="0" applyFont="1" applyFill="1"/>
    <xf numFmtId="0" fontId="12" fillId="0" borderId="0" xfId="0" applyFont="1"/>
    <xf numFmtId="0" fontId="14" fillId="8" borderId="1" xfId="0" applyFont="1" applyFill="1" applyBorder="1" applyAlignment="1">
      <alignment horizontal="left" vertical="center" wrapText="1"/>
    </xf>
    <xf numFmtId="0" fontId="14" fillId="8" borderId="1" xfId="0" applyFont="1" applyFill="1" applyBorder="1" applyAlignment="1">
      <alignment horizontal="left" vertical="center"/>
    </xf>
    <xf numFmtId="0" fontId="14" fillId="9" borderId="1" xfId="0" applyFont="1" applyFill="1" applyBorder="1" applyAlignment="1">
      <alignment horizontal="left" vertical="center" wrapText="1"/>
    </xf>
    <xf numFmtId="0" fontId="14" fillId="9" borderId="1" xfId="0" applyFont="1" applyFill="1" applyBorder="1" applyAlignment="1">
      <alignment horizontal="left" vertical="center"/>
    </xf>
    <xf numFmtId="0" fontId="14" fillId="10" borderId="1" xfId="0" applyFont="1" applyFill="1" applyBorder="1" applyAlignment="1">
      <alignment horizontal="left" vertical="center" wrapText="1"/>
    </xf>
    <xf numFmtId="0" fontId="14" fillId="10" borderId="1" xfId="0" applyFont="1" applyFill="1" applyBorder="1" applyAlignment="1">
      <alignment horizontal="left" vertical="center"/>
    </xf>
    <xf numFmtId="0" fontId="14" fillId="12" borderId="1" xfId="0" applyFont="1" applyFill="1" applyBorder="1" applyAlignment="1">
      <alignment horizontal="left" vertical="center" wrapText="1"/>
    </xf>
    <xf numFmtId="0" fontId="14" fillId="12" borderId="1" xfId="0" applyFont="1" applyFill="1" applyBorder="1" applyAlignment="1">
      <alignment horizontal="left" vertical="center"/>
    </xf>
    <xf numFmtId="0" fontId="14" fillId="13" borderId="1" xfId="0" applyFont="1" applyFill="1" applyBorder="1" applyAlignment="1">
      <alignment horizontal="left" vertical="center" wrapText="1"/>
    </xf>
    <xf numFmtId="0" fontId="14" fillId="13" borderId="1" xfId="0" applyFont="1" applyFill="1" applyBorder="1" applyAlignment="1">
      <alignment horizontal="left" vertical="center"/>
    </xf>
    <xf numFmtId="0" fontId="14" fillId="5" borderId="1" xfId="0" applyFont="1" applyFill="1" applyBorder="1" applyAlignment="1">
      <alignment horizontal="left" vertical="center" wrapText="1"/>
    </xf>
    <xf numFmtId="0" fontId="14" fillId="5" borderId="1" xfId="0" applyFont="1" applyFill="1" applyBorder="1" applyAlignment="1">
      <alignment horizontal="left" vertical="center"/>
    </xf>
    <xf numFmtId="0" fontId="14" fillId="14" borderId="1" xfId="0" applyFont="1" applyFill="1" applyBorder="1" applyAlignment="1">
      <alignment horizontal="left" vertical="center" wrapText="1"/>
    </xf>
    <xf numFmtId="0" fontId="14" fillId="14" borderId="1" xfId="0" applyFont="1" applyFill="1" applyBorder="1" applyAlignment="1">
      <alignment horizontal="left" vertical="center"/>
    </xf>
    <xf numFmtId="0" fontId="14" fillId="15" borderId="1" xfId="0" applyFont="1" applyFill="1" applyBorder="1" applyAlignment="1">
      <alignment horizontal="left" vertical="center" wrapText="1"/>
    </xf>
    <xf numFmtId="0" fontId="14" fillId="15" borderId="1" xfId="0" applyFont="1" applyFill="1" applyBorder="1" applyAlignment="1">
      <alignment horizontal="left" vertical="center"/>
    </xf>
    <xf numFmtId="0" fontId="3" fillId="6" borderId="0" xfId="1" applyFill="1"/>
    <xf numFmtId="0" fontId="2" fillId="2" borderId="0" xfId="0" applyFont="1" applyFill="1"/>
    <xf numFmtId="0" fontId="19" fillId="2" borderId="0" xfId="0" applyFont="1" applyFill="1"/>
    <xf numFmtId="3" fontId="8" fillId="17" borderId="0" xfId="0" applyNumberFormat="1" applyFont="1" applyFill="1" applyAlignment="1">
      <alignment horizontal="center"/>
    </xf>
    <xf numFmtId="9" fontId="8" fillId="17" borderId="0" xfId="0" applyNumberFormat="1" applyFont="1" applyFill="1" applyAlignment="1">
      <alignment horizontal="center"/>
    </xf>
    <xf numFmtId="0" fontId="8" fillId="17" borderId="0" xfId="0" applyFont="1" applyFill="1" applyAlignment="1">
      <alignment horizontal="center"/>
    </xf>
    <xf numFmtId="0" fontId="1" fillId="0" borderId="0" xfId="0" applyFont="1"/>
    <xf numFmtId="0" fontId="11" fillId="0" borderId="0" xfId="0" applyFont="1"/>
    <xf numFmtId="3" fontId="12" fillId="0" borderId="0" xfId="0" applyNumberFormat="1" applyFont="1"/>
    <xf numFmtId="3" fontId="11" fillId="0" borderId="0" xfId="0" applyNumberFormat="1" applyFont="1"/>
    <xf numFmtId="164" fontId="12" fillId="0" borderId="0" xfId="0" applyNumberFormat="1" applyFont="1"/>
    <xf numFmtId="0" fontId="7" fillId="2" borderId="0" xfId="0" applyFont="1" applyFill="1" applyAlignment="1">
      <alignment vertical="center" textRotation="90" wrapText="1"/>
    </xf>
    <xf numFmtId="0" fontId="8" fillId="2" borderId="0" xfId="0" applyFont="1" applyFill="1" applyAlignment="1">
      <alignment horizontal="left" indent="1"/>
    </xf>
    <xf numFmtId="166" fontId="8" fillId="2" borderId="0" xfId="0" applyNumberFormat="1" applyFont="1" applyFill="1" applyAlignment="1">
      <alignment horizontal="right"/>
    </xf>
    <xf numFmtId="0" fontId="1" fillId="3" borderId="0" xfId="0" applyFont="1" applyFill="1" applyAlignment="1">
      <alignment vertical="center"/>
    </xf>
    <xf numFmtId="0" fontId="12" fillId="2" borderId="2" xfId="0" applyFont="1" applyFill="1" applyBorder="1" applyAlignment="1">
      <alignment horizontal="center"/>
    </xf>
    <xf numFmtId="0" fontId="12" fillId="7" borderId="2" xfId="0" applyFont="1" applyFill="1" applyBorder="1" applyAlignment="1">
      <alignment horizontal="center"/>
    </xf>
    <xf numFmtId="0" fontId="21" fillId="2" borderId="0" xfId="0" applyFont="1" applyFill="1" applyAlignment="1">
      <alignment horizontal="left" indent="1"/>
    </xf>
    <xf numFmtId="0" fontId="21" fillId="2" borderId="0" xfId="0" applyFont="1" applyFill="1" applyAlignment="1">
      <alignment horizontal="center"/>
    </xf>
    <xf numFmtId="0" fontId="17" fillId="8" borderId="3" xfId="1" applyFont="1" applyFill="1" applyBorder="1" applyAlignment="1">
      <alignment horizontal="left" vertical="center"/>
    </xf>
    <xf numFmtId="0" fontId="14" fillId="8" borderId="3" xfId="0" applyFont="1" applyFill="1" applyBorder="1" applyAlignment="1">
      <alignment horizontal="left" vertical="center"/>
    </xf>
    <xf numFmtId="0" fontId="14" fillId="9" borderId="3" xfId="0" applyFont="1" applyFill="1" applyBorder="1" applyAlignment="1">
      <alignment horizontal="left" vertical="center"/>
    </xf>
    <xf numFmtId="0" fontId="14" fillId="10" borderId="3" xfId="0" applyFont="1" applyFill="1" applyBorder="1" applyAlignment="1">
      <alignment horizontal="left" vertical="center"/>
    </xf>
    <xf numFmtId="0" fontId="14" fillId="13" borderId="3" xfId="0" applyFont="1" applyFill="1" applyBorder="1" applyAlignment="1">
      <alignment horizontal="left" vertical="center" wrapText="1"/>
    </xf>
    <xf numFmtId="0" fontId="14" fillId="5" borderId="3" xfId="0" applyFont="1" applyFill="1" applyBorder="1" applyAlignment="1">
      <alignment horizontal="left" vertical="center"/>
    </xf>
    <xf numFmtId="0" fontId="14" fillId="14" borderId="3" xfId="0" applyFont="1" applyFill="1" applyBorder="1" applyAlignment="1">
      <alignment horizontal="left" vertical="center"/>
    </xf>
    <xf numFmtId="0" fontId="14" fillId="15" borderId="3" xfId="0" applyFont="1" applyFill="1" applyBorder="1" applyAlignment="1">
      <alignment horizontal="left" vertical="center" wrapText="1"/>
    </xf>
    <xf numFmtId="0" fontId="18" fillId="16" borderId="0" xfId="0" applyFont="1" applyFill="1" applyAlignment="1">
      <alignment vertical="center" wrapText="1"/>
    </xf>
    <xf numFmtId="1" fontId="8" fillId="17" borderId="0" xfId="0" applyNumberFormat="1" applyFont="1" applyFill="1" applyAlignment="1">
      <alignment horizontal="center"/>
    </xf>
    <xf numFmtId="0" fontId="23" fillId="2" borderId="0" xfId="0" applyFont="1" applyFill="1"/>
    <xf numFmtId="0" fontId="12" fillId="19" borderId="0" xfId="0" applyFont="1" applyFill="1"/>
    <xf numFmtId="0" fontId="11" fillId="19" borderId="0" xfId="0" applyFont="1" applyFill="1"/>
    <xf numFmtId="0" fontId="24" fillId="0" borderId="0" xfId="0" applyFont="1"/>
    <xf numFmtId="0" fontId="25" fillId="0" borderId="0" xfId="0" applyFont="1" applyAlignment="1">
      <alignment horizontal="left" vertical="top"/>
    </xf>
    <xf numFmtId="0" fontId="22" fillId="0" borderId="0" xfId="0" applyFont="1"/>
    <xf numFmtId="1" fontId="26" fillId="0" borderId="0" xfId="0" applyNumberFormat="1" applyFont="1" applyAlignment="1">
      <alignment horizontal="right" vertical="top" shrinkToFit="1"/>
    </xf>
    <xf numFmtId="0" fontId="28" fillId="21" borderId="0" xfId="0" applyFont="1" applyFill="1" applyAlignment="1">
      <alignment horizontal="left" vertical="center" wrapText="1" indent="1"/>
    </xf>
    <xf numFmtId="10" fontId="28" fillId="21" borderId="0" xfId="0" applyNumberFormat="1" applyFont="1" applyFill="1" applyAlignment="1">
      <alignment horizontal="left" vertical="center" wrapText="1" indent="1"/>
    </xf>
    <xf numFmtId="0" fontId="29" fillId="21" borderId="0" xfId="0" applyFont="1" applyFill="1" applyAlignment="1">
      <alignment horizontal="left" vertical="center" wrapText="1" indent="1"/>
    </xf>
    <xf numFmtId="10" fontId="29" fillId="21" borderId="0" xfId="0" applyNumberFormat="1" applyFont="1" applyFill="1" applyAlignment="1">
      <alignment horizontal="left" vertical="center" wrapText="1" indent="1"/>
    </xf>
    <xf numFmtId="0" fontId="29" fillId="20" borderId="5" xfId="0" applyFont="1" applyFill="1" applyBorder="1" applyAlignment="1">
      <alignment horizontal="center" vertical="center" wrapText="1"/>
    </xf>
    <xf numFmtId="0" fontId="28" fillId="21" borderId="5" xfId="0" applyFont="1" applyFill="1" applyBorder="1" applyAlignment="1">
      <alignment horizontal="left" vertical="center" wrapText="1" indent="1"/>
    </xf>
    <xf numFmtId="0" fontId="27" fillId="0" borderId="5" xfId="0" applyFont="1" applyBorder="1" applyAlignment="1">
      <alignment horizontal="left" vertical="top" wrapText="1"/>
    </xf>
    <xf numFmtId="1" fontId="27" fillId="0" borderId="5" xfId="0" applyNumberFormat="1" applyFont="1" applyBorder="1" applyAlignment="1">
      <alignment horizontal="right" vertical="top" shrinkToFit="1"/>
    </xf>
    <xf numFmtId="0" fontId="26" fillId="0" borderId="5" xfId="0" applyFont="1" applyBorder="1" applyAlignment="1">
      <alignment horizontal="left" vertical="top" wrapText="1"/>
    </xf>
    <xf numFmtId="1" fontId="26" fillId="0" borderId="5" xfId="0" applyNumberFormat="1" applyFont="1" applyBorder="1" applyAlignment="1">
      <alignment horizontal="right" vertical="top" shrinkToFit="1"/>
    </xf>
    <xf numFmtId="167" fontId="27" fillId="0" borderId="5" xfId="0" applyNumberFormat="1" applyFont="1" applyBorder="1" applyAlignment="1">
      <alignment horizontal="right" vertical="top" wrapText="1"/>
    </xf>
    <xf numFmtId="0" fontId="11" fillId="20" borderId="5" xfId="0" applyFont="1" applyFill="1" applyBorder="1"/>
    <xf numFmtId="2" fontId="12" fillId="0" borderId="5" xfId="0" applyNumberFormat="1" applyFont="1" applyBorder="1"/>
    <xf numFmtId="2" fontId="12" fillId="6" borderId="5" xfId="0" applyNumberFormat="1" applyFont="1" applyFill="1" applyBorder="1"/>
    <xf numFmtId="0" fontId="24" fillId="0" borderId="0" xfId="0" applyFont="1" applyAlignment="1">
      <alignment horizontal="left"/>
    </xf>
    <xf numFmtId="0" fontId="12" fillId="20" borderId="6" xfId="0" applyFont="1" applyFill="1" applyBorder="1"/>
    <xf numFmtId="0" fontId="0" fillId="20" borderId="7" xfId="0" applyFill="1" applyBorder="1"/>
    <xf numFmtId="0" fontId="11" fillId="20" borderId="6" xfId="0" applyFont="1" applyFill="1" applyBorder="1" applyAlignment="1">
      <alignment horizontal="center"/>
    </xf>
    <xf numFmtId="0" fontId="11" fillId="20" borderId="7" xfId="0" applyFont="1" applyFill="1" applyBorder="1" applyAlignment="1">
      <alignment horizontal="center"/>
    </xf>
    <xf numFmtId="168" fontId="28" fillId="21" borderId="5" xfId="0" applyNumberFormat="1" applyFont="1" applyFill="1" applyBorder="1" applyAlignment="1">
      <alignment horizontal="center" vertical="center" wrapText="1"/>
    </xf>
    <xf numFmtId="0" fontId="26" fillId="20" borderId="5" xfId="0" applyFont="1" applyFill="1" applyBorder="1" applyAlignment="1">
      <alignment horizontal="center" vertical="top" wrapText="1"/>
    </xf>
    <xf numFmtId="0" fontId="30" fillId="0" borderId="0" xfId="0" applyFont="1" applyAlignment="1">
      <alignment horizontal="left" wrapText="1"/>
    </xf>
    <xf numFmtId="0" fontId="26" fillId="20" borderId="5" xfId="0" applyFont="1" applyFill="1" applyBorder="1" applyAlignment="1">
      <alignment horizontal="left" vertical="top" wrapText="1"/>
    </xf>
    <xf numFmtId="164" fontId="28" fillId="21" borderId="5" xfId="0" applyNumberFormat="1" applyFont="1" applyFill="1" applyBorder="1" applyAlignment="1">
      <alignment horizontal="center" vertical="center" wrapText="1"/>
    </xf>
    <xf numFmtId="0" fontId="31" fillId="0" borderId="0" xfId="0" applyFont="1"/>
    <xf numFmtId="0" fontId="26" fillId="20" borderId="5" xfId="0" applyFont="1" applyFill="1" applyBorder="1" applyAlignment="1">
      <alignment horizontal="right" vertical="top" wrapText="1"/>
    </xf>
    <xf numFmtId="0" fontId="30" fillId="0" borderId="0" xfId="0" applyFont="1" applyAlignment="1">
      <alignment horizontal="left"/>
    </xf>
    <xf numFmtId="0" fontId="32" fillId="0" borderId="0" xfId="0" applyFont="1" applyAlignment="1">
      <alignment horizontal="center" vertical="top" wrapText="1"/>
    </xf>
    <xf numFmtId="3" fontId="27" fillId="0" borderId="5" xfId="0" applyNumberFormat="1" applyFont="1" applyBorder="1" applyAlignment="1">
      <alignment horizontal="right" vertical="top" shrinkToFit="1"/>
    </xf>
    <xf numFmtId="3" fontId="26" fillId="0" borderId="5" xfId="0" applyNumberFormat="1" applyFont="1" applyBorder="1" applyAlignment="1">
      <alignment horizontal="right" vertical="top" shrinkToFit="1"/>
    </xf>
    <xf numFmtId="166" fontId="27" fillId="0" borderId="5" xfId="0" applyNumberFormat="1" applyFont="1" applyBorder="1" applyAlignment="1">
      <alignment horizontal="right" vertical="top" shrinkToFit="1"/>
    </xf>
    <xf numFmtId="169" fontId="27" fillId="0" borderId="5" xfId="0" applyNumberFormat="1" applyFont="1" applyBorder="1" applyAlignment="1">
      <alignment horizontal="right" vertical="top" shrinkToFit="1"/>
    </xf>
    <xf numFmtId="164" fontId="27" fillId="0" borderId="5" xfId="0" applyNumberFormat="1" applyFont="1" applyBorder="1" applyAlignment="1">
      <alignment horizontal="right" vertical="top" shrinkToFit="1"/>
    </xf>
    <xf numFmtId="0" fontId="12" fillId="7" borderId="10" xfId="0" applyFont="1" applyFill="1" applyBorder="1" applyAlignment="1">
      <alignment horizontal="center"/>
    </xf>
    <xf numFmtId="0" fontId="12" fillId="2" borderId="10" xfId="0" applyFont="1" applyFill="1" applyBorder="1" applyAlignment="1">
      <alignment horizontal="center"/>
    </xf>
    <xf numFmtId="0" fontId="27" fillId="20" borderId="5" xfId="0" applyFont="1" applyFill="1" applyBorder="1" applyAlignment="1">
      <alignment horizontal="left" vertical="top" wrapText="1"/>
    </xf>
    <xf numFmtId="4" fontId="27" fillId="0" borderId="5" xfId="0" applyNumberFormat="1" applyFont="1" applyBorder="1" applyAlignment="1">
      <alignment horizontal="right" vertical="top" shrinkToFit="1"/>
    </xf>
    <xf numFmtId="4" fontId="26" fillId="0" borderId="5" xfId="0" applyNumberFormat="1" applyFont="1" applyBorder="1" applyAlignment="1">
      <alignment horizontal="right" vertical="top" shrinkToFit="1"/>
    </xf>
    <xf numFmtId="169" fontId="26" fillId="0" borderId="5" xfId="0" applyNumberFormat="1" applyFont="1" applyBorder="1" applyAlignment="1">
      <alignment horizontal="right" vertical="top" shrinkToFit="1"/>
    </xf>
    <xf numFmtId="3" fontId="32" fillId="0" borderId="0" xfId="0" applyNumberFormat="1" applyFont="1" applyAlignment="1">
      <alignment horizontal="center" vertical="top" wrapText="1"/>
    </xf>
    <xf numFmtId="3" fontId="0" fillId="0" borderId="0" xfId="0" applyNumberFormat="1"/>
    <xf numFmtId="3" fontId="32" fillId="0" borderId="0" xfId="0" applyNumberFormat="1" applyFont="1" applyAlignment="1">
      <alignment horizontal="left" vertical="top" wrapText="1" indent="2"/>
    </xf>
    <xf numFmtId="3" fontId="32" fillId="0" borderId="0" xfId="0" applyNumberFormat="1" applyFont="1" applyAlignment="1">
      <alignment horizontal="left" vertical="top" wrapText="1" indent="4"/>
    </xf>
    <xf numFmtId="0" fontId="27" fillId="20" borderId="6" xfId="0" applyFont="1" applyFill="1" applyBorder="1" applyAlignment="1">
      <alignment horizontal="left" vertical="top" wrapText="1"/>
    </xf>
    <xf numFmtId="0" fontId="27" fillId="20" borderId="7" xfId="0" applyFont="1" applyFill="1" applyBorder="1" applyAlignment="1">
      <alignment horizontal="left" vertical="top" wrapText="1"/>
    </xf>
    <xf numFmtId="168" fontId="27" fillId="0" borderId="5" xfId="2" applyNumberFormat="1" applyFont="1" applyBorder="1" applyAlignment="1">
      <alignment horizontal="right" vertical="top" shrinkToFit="1"/>
    </xf>
    <xf numFmtId="9" fontId="27" fillId="0" borderId="5" xfId="2" applyFont="1" applyBorder="1" applyAlignment="1">
      <alignment horizontal="right" vertical="top" shrinkToFit="1"/>
    </xf>
    <xf numFmtId="0" fontId="26" fillId="7" borderId="5" xfId="0" applyFont="1" applyFill="1" applyBorder="1" applyAlignment="1">
      <alignment horizontal="left" vertical="top" wrapText="1"/>
    </xf>
    <xf numFmtId="3" fontId="26" fillId="7" borderId="5" xfId="0" applyNumberFormat="1" applyFont="1" applyFill="1" applyBorder="1" applyAlignment="1">
      <alignment horizontal="right" vertical="top" shrinkToFit="1"/>
    </xf>
    <xf numFmtId="168" fontId="26" fillId="7" borderId="5" xfId="2" applyNumberFormat="1" applyFont="1" applyFill="1" applyBorder="1" applyAlignment="1">
      <alignment horizontal="right" vertical="top" shrinkToFit="1"/>
    </xf>
    <xf numFmtId="0" fontId="25" fillId="0" borderId="5" xfId="0" applyFont="1" applyBorder="1" applyAlignment="1">
      <alignment horizontal="left" vertical="top" wrapText="1" indent="1"/>
    </xf>
    <xf numFmtId="3" fontId="25" fillId="0" borderId="5" xfId="0" applyNumberFormat="1" applyFont="1" applyBorder="1" applyAlignment="1">
      <alignment horizontal="right" vertical="top" shrinkToFit="1"/>
    </xf>
    <xf numFmtId="9" fontId="26" fillId="0" borderId="5" xfId="2" applyFont="1" applyBorder="1" applyAlignment="1">
      <alignment horizontal="right" vertical="top" shrinkToFit="1"/>
    </xf>
    <xf numFmtId="0" fontId="38" fillId="0" borderId="0" xfId="0" applyFont="1"/>
    <xf numFmtId="0" fontId="39" fillId="0" borderId="0" xfId="0" applyFont="1"/>
    <xf numFmtId="0" fontId="11" fillId="22" borderId="0" xfId="0" applyFont="1" applyFill="1" applyAlignment="1">
      <alignment horizontal="left"/>
    </xf>
    <xf numFmtId="4" fontId="8" fillId="17" borderId="0" xfId="0" applyNumberFormat="1" applyFont="1" applyFill="1" applyAlignment="1">
      <alignment horizontal="center"/>
    </xf>
    <xf numFmtId="0" fontId="40" fillId="0" borderId="0" xfId="0" applyFont="1"/>
    <xf numFmtId="0" fontId="41" fillId="2" borderId="0" xfId="0" applyFont="1" applyFill="1" applyAlignment="1">
      <alignment horizontal="left" indent="2"/>
    </xf>
    <xf numFmtId="0" fontId="41" fillId="2" borderId="0" xfId="0" applyFont="1" applyFill="1" applyAlignment="1">
      <alignment horizontal="center"/>
    </xf>
    <xf numFmtId="0" fontId="41" fillId="2" borderId="0" xfId="0" applyFont="1" applyFill="1" applyAlignment="1">
      <alignment horizontal="center" vertical="top"/>
    </xf>
    <xf numFmtId="0" fontId="0" fillId="0" borderId="0" xfId="0" applyAlignment="1">
      <alignment horizontal="left" indent="2"/>
    </xf>
    <xf numFmtId="0" fontId="42" fillId="2" borderId="0" xfId="0" applyFont="1" applyFill="1"/>
    <xf numFmtId="0" fontId="41" fillId="2" borderId="0" xfId="0" applyFont="1" applyFill="1"/>
    <xf numFmtId="0" fontId="8" fillId="0" borderId="11" xfId="0" applyFont="1" applyBorder="1" applyAlignment="1">
      <alignment horizontal="left" indent="1"/>
    </xf>
    <xf numFmtId="0" fontId="8" fillId="0" borderId="12" xfId="0" applyFont="1" applyBorder="1" applyAlignment="1">
      <alignment horizontal="left" indent="1"/>
    </xf>
    <xf numFmtId="3" fontId="27" fillId="0" borderId="5" xfId="0" applyNumberFormat="1" applyFont="1" applyBorder="1" applyAlignment="1">
      <alignment horizontal="center" vertical="top" shrinkToFit="1"/>
    </xf>
    <xf numFmtId="0" fontId="26" fillId="20" borderId="5" xfId="0" quotePrefix="1" applyFont="1" applyFill="1" applyBorder="1" applyAlignment="1">
      <alignment horizontal="center" vertical="top" wrapText="1"/>
    </xf>
    <xf numFmtId="3" fontId="8" fillId="0" borderId="13" xfId="0" applyNumberFormat="1" applyFont="1" applyBorder="1" applyAlignment="1">
      <alignment horizontal="right"/>
    </xf>
    <xf numFmtId="4" fontId="8" fillId="0" borderId="13" xfId="0" applyNumberFormat="1" applyFont="1" applyBorder="1" applyAlignment="1">
      <alignment horizontal="right"/>
    </xf>
    <xf numFmtId="0" fontId="8" fillId="0" borderId="13" xfId="0" applyFont="1" applyBorder="1" applyAlignment="1">
      <alignment horizontal="left"/>
    </xf>
    <xf numFmtId="0" fontId="11" fillId="0" borderId="13" xfId="0" applyFont="1" applyBorder="1" applyAlignment="1">
      <alignment horizontal="left"/>
    </xf>
    <xf numFmtId="3" fontId="11" fillId="0" borderId="13" xfId="0" applyNumberFormat="1" applyFont="1" applyBorder="1" applyAlignment="1">
      <alignment horizontal="right"/>
    </xf>
    <xf numFmtId="0" fontId="11" fillId="20" borderId="0" xfId="0" applyFont="1" applyFill="1"/>
    <xf numFmtId="0" fontId="12" fillId="20" borderId="0" xfId="0" applyFont="1" applyFill="1"/>
    <xf numFmtId="0" fontId="1" fillId="2" borderId="0" xfId="0" applyFont="1" applyFill="1" applyAlignment="1">
      <alignment horizontal="left"/>
    </xf>
    <xf numFmtId="4" fontId="27" fillId="0" borderId="5" xfId="0" applyNumberFormat="1" applyFont="1" applyBorder="1" applyAlignment="1">
      <alignment horizontal="center" vertical="top" shrinkToFit="1"/>
    </xf>
    <xf numFmtId="2" fontId="12" fillId="18" borderId="5" xfId="0" applyNumberFormat="1" applyFont="1" applyFill="1" applyBorder="1"/>
    <xf numFmtId="0" fontId="43" fillId="0" borderId="0" xfId="1" applyFont="1"/>
    <xf numFmtId="0" fontId="46" fillId="0" borderId="0" xfId="0" applyFont="1"/>
    <xf numFmtId="166" fontId="11" fillId="0" borderId="0" xfId="0" applyNumberFormat="1" applyFont="1"/>
    <xf numFmtId="168" fontId="8" fillId="17" borderId="0" xfId="2" applyNumberFormat="1" applyFont="1" applyFill="1" applyAlignment="1">
      <alignment horizontal="center"/>
    </xf>
    <xf numFmtId="0" fontId="21" fillId="2" borderId="0" xfId="0" applyFont="1" applyFill="1" applyAlignment="1">
      <alignment horizontal="left"/>
    </xf>
    <xf numFmtId="0" fontId="8" fillId="0" borderId="0" xfId="0" applyFont="1" applyAlignment="1">
      <alignment horizontal="left"/>
    </xf>
    <xf numFmtId="3" fontId="8" fillId="0" borderId="0" xfId="0" applyNumberFormat="1" applyFont="1" applyAlignment="1">
      <alignment horizontal="center"/>
    </xf>
    <xf numFmtId="3" fontId="8" fillId="0" borderId="0" xfId="0" applyNumberFormat="1" applyFont="1" applyAlignment="1">
      <alignment horizontal="right" indent="2"/>
    </xf>
    <xf numFmtId="4" fontId="8" fillId="0" borderId="0" xfId="0" applyNumberFormat="1" applyFont="1" applyAlignment="1">
      <alignment horizontal="right" indent="2"/>
    </xf>
    <xf numFmtId="0" fontId="12" fillId="0" borderId="0" xfId="0" applyFont="1" applyAlignment="1">
      <alignment horizontal="left"/>
    </xf>
    <xf numFmtId="168" fontId="8" fillId="17" borderId="0" xfId="0" applyNumberFormat="1" applyFont="1" applyFill="1" applyAlignment="1">
      <alignment horizontal="center"/>
    </xf>
    <xf numFmtId="0" fontId="11" fillId="6" borderId="15" xfId="0" applyFont="1" applyFill="1" applyBorder="1" applyAlignment="1">
      <alignment horizontal="left"/>
    </xf>
    <xf numFmtId="3" fontId="11" fillId="6" borderId="15" xfId="0" applyNumberFormat="1" applyFont="1" applyFill="1" applyBorder="1" applyAlignment="1">
      <alignment horizontal="right"/>
    </xf>
    <xf numFmtId="0" fontId="8" fillId="6" borderId="16" xfId="0" applyFont="1" applyFill="1" applyBorder="1" applyAlignment="1">
      <alignment horizontal="left"/>
    </xf>
    <xf numFmtId="3" fontId="8" fillId="6" borderId="16" xfId="0" applyNumberFormat="1" applyFont="1" applyFill="1" applyBorder="1" applyAlignment="1">
      <alignment horizontal="right"/>
    </xf>
    <xf numFmtId="2" fontId="27" fillId="0" borderId="5" xfId="0" applyNumberFormat="1" applyFont="1" applyBorder="1" applyAlignment="1">
      <alignment horizontal="right" vertical="top" wrapText="1"/>
    </xf>
    <xf numFmtId="0" fontId="11" fillId="7" borderId="0" xfId="0" applyFont="1" applyFill="1"/>
    <xf numFmtId="0" fontId="0" fillId="7" borderId="0" xfId="0" applyFill="1"/>
    <xf numFmtId="0" fontId="4" fillId="7" borderId="0" xfId="0" applyFont="1" applyFill="1"/>
    <xf numFmtId="9" fontId="11" fillId="2" borderId="0" xfId="0" applyNumberFormat="1" applyFont="1" applyFill="1" applyAlignment="1">
      <alignment horizontal="center"/>
    </xf>
    <xf numFmtId="2" fontId="27" fillId="0" borderId="5" xfId="0" applyNumberFormat="1" applyFont="1" applyBorder="1" applyAlignment="1">
      <alignment horizontal="center" vertical="top" wrapText="1"/>
    </xf>
    <xf numFmtId="167" fontId="27" fillId="0" borderId="5" xfId="0" quotePrefix="1" applyNumberFormat="1" applyFont="1" applyBorder="1" applyAlignment="1">
      <alignment horizontal="right" vertical="top" wrapText="1"/>
    </xf>
    <xf numFmtId="2" fontId="27" fillId="0" borderId="5" xfId="0" quotePrefix="1" applyNumberFormat="1" applyFont="1" applyBorder="1" applyAlignment="1">
      <alignment horizontal="right" vertical="top" wrapText="1"/>
    </xf>
    <xf numFmtId="1" fontId="27" fillId="0" borderId="5" xfId="0" applyNumberFormat="1" applyFont="1" applyBorder="1" applyAlignment="1">
      <alignment horizontal="center" vertical="top" wrapText="1"/>
    </xf>
    <xf numFmtId="0" fontId="8" fillId="2" borderId="0" xfId="0" quotePrefix="1" applyFont="1" applyFill="1" applyAlignment="1">
      <alignment horizontal="left"/>
    </xf>
    <xf numFmtId="0" fontId="0" fillId="0" borderId="0" xfId="0" applyAlignment="1">
      <alignment horizontal="center"/>
    </xf>
    <xf numFmtId="3" fontId="1" fillId="0" borderId="0" xfId="0" applyNumberFormat="1" applyFont="1" applyAlignment="1">
      <alignment horizontal="center"/>
    </xf>
    <xf numFmtId="0" fontId="1" fillId="0" borderId="0" xfId="0" applyFont="1" applyAlignment="1">
      <alignment horizontal="center"/>
    </xf>
    <xf numFmtId="0" fontId="50" fillId="0" borderId="0" xfId="0" applyFont="1"/>
    <xf numFmtId="165" fontId="0" fillId="0" borderId="0" xfId="0" applyNumberFormat="1"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51" fillId="0" borderId="0" xfId="0" applyFont="1" applyAlignment="1">
      <alignment horizontal="left" vertical="top" wrapText="1"/>
    </xf>
    <xf numFmtId="0" fontId="51" fillId="0" borderId="18" xfId="0" applyFont="1" applyBorder="1" applyAlignment="1">
      <alignment horizontal="left" wrapText="1"/>
    </xf>
    <xf numFmtId="0" fontId="51" fillId="0" borderId="0" xfId="0" applyFont="1" applyAlignment="1">
      <alignment horizontal="left" wrapText="1"/>
    </xf>
    <xf numFmtId="0" fontId="51" fillId="0" borderId="0" xfId="0" applyFont="1" applyAlignment="1">
      <alignment horizontal="left" vertical="center" wrapText="1"/>
    </xf>
    <xf numFmtId="0" fontId="52" fillId="0" borderId="17" xfId="0" applyFont="1" applyBorder="1" applyAlignment="1">
      <alignment horizontal="left" vertical="top" wrapText="1" indent="1"/>
    </xf>
    <xf numFmtId="0" fontId="53" fillId="23" borderId="18" xfId="0" applyFont="1" applyFill="1" applyBorder="1" applyAlignment="1">
      <alignment horizontal="center" vertical="top" wrapText="1"/>
    </xf>
    <xf numFmtId="0" fontId="53" fillId="23" borderId="22" xfId="0" applyFont="1" applyFill="1" applyBorder="1" applyAlignment="1">
      <alignment horizontal="center" vertical="top" wrapText="1"/>
    </xf>
    <xf numFmtId="0" fontId="53" fillId="23" borderId="23" xfId="0" applyFont="1" applyFill="1" applyBorder="1" applyAlignment="1">
      <alignment horizontal="center" vertical="top" wrapText="1"/>
    </xf>
    <xf numFmtId="0" fontId="53" fillId="0" borderId="17" xfId="0" applyFont="1" applyBorder="1" applyAlignment="1">
      <alignment horizontal="left" vertical="top" wrapText="1" indent="1"/>
    </xf>
    <xf numFmtId="1" fontId="53" fillId="0" borderId="17" xfId="0" applyNumberFormat="1" applyFont="1" applyBorder="1" applyAlignment="1">
      <alignment horizontal="center" vertical="top" shrinkToFit="1"/>
    </xf>
    <xf numFmtId="1" fontId="53" fillId="0" borderId="19" xfId="0" applyNumberFormat="1" applyFont="1" applyBorder="1" applyAlignment="1">
      <alignment horizontal="center" vertical="top" shrinkToFit="1"/>
    </xf>
    <xf numFmtId="1" fontId="53" fillId="0" borderId="21" xfId="0" applyNumberFormat="1" applyFont="1" applyBorder="1" applyAlignment="1">
      <alignment horizontal="center" vertical="top" shrinkToFit="1"/>
    </xf>
    <xf numFmtId="9" fontId="53" fillId="0" borderId="21" xfId="0" applyNumberFormat="1" applyFont="1" applyBorder="1" applyAlignment="1">
      <alignment horizontal="center" vertical="top" shrinkToFit="1"/>
    </xf>
    <xf numFmtId="9" fontId="53" fillId="0" borderId="17" xfId="0" applyNumberFormat="1" applyFont="1" applyBorder="1" applyAlignment="1">
      <alignment horizontal="center" vertical="top" shrinkToFit="1"/>
    </xf>
    <xf numFmtId="0" fontId="53" fillId="23" borderId="0" xfId="0" applyFont="1" applyFill="1" applyAlignment="1">
      <alignment horizontal="left" vertical="top" wrapText="1" indent="1"/>
    </xf>
    <xf numFmtId="1" fontId="53" fillId="23" borderId="0" xfId="0" applyNumberFormat="1" applyFont="1" applyFill="1" applyAlignment="1">
      <alignment horizontal="center" vertical="top" shrinkToFit="1"/>
    </xf>
    <xf numFmtId="1" fontId="53" fillId="23" borderId="24" xfId="0" applyNumberFormat="1" applyFont="1" applyFill="1" applyBorder="1" applyAlignment="1">
      <alignment horizontal="center" vertical="top" shrinkToFit="1"/>
    </xf>
    <xf numFmtId="1" fontId="53" fillId="23" borderId="20" xfId="0" applyNumberFormat="1" applyFont="1" applyFill="1" applyBorder="1" applyAlignment="1">
      <alignment horizontal="center" vertical="top" shrinkToFit="1"/>
    </xf>
    <xf numFmtId="9" fontId="53" fillId="23" borderId="20" xfId="0" applyNumberFormat="1" applyFont="1" applyFill="1" applyBorder="1" applyAlignment="1">
      <alignment horizontal="center" vertical="top" shrinkToFit="1"/>
    </xf>
    <xf numFmtId="9" fontId="53" fillId="23" borderId="0" xfId="0" applyNumberFormat="1" applyFont="1" applyFill="1" applyAlignment="1">
      <alignment horizontal="center" vertical="top" shrinkToFit="1"/>
    </xf>
    <xf numFmtId="0" fontId="53" fillId="0" borderId="0" xfId="0" applyFont="1" applyAlignment="1">
      <alignment horizontal="left" vertical="top" wrapText="1" indent="1"/>
    </xf>
    <xf numFmtId="1" fontId="53" fillId="0" borderId="0" xfId="0" applyNumberFormat="1" applyFont="1" applyAlignment="1">
      <alignment horizontal="center" vertical="top" shrinkToFit="1"/>
    </xf>
    <xf numFmtId="1" fontId="53" fillId="0" borderId="24" xfId="0" applyNumberFormat="1" applyFont="1" applyBorder="1" applyAlignment="1">
      <alignment horizontal="center" vertical="top" shrinkToFit="1"/>
    </xf>
    <xf numFmtId="1" fontId="53" fillId="0" borderId="20" xfId="0" applyNumberFormat="1" applyFont="1" applyBorder="1" applyAlignment="1">
      <alignment horizontal="center" vertical="top" shrinkToFit="1"/>
    </xf>
    <xf numFmtId="9" fontId="53" fillId="0" borderId="20" xfId="0" applyNumberFormat="1" applyFont="1" applyBorder="1" applyAlignment="1">
      <alignment horizontal="center" vertical="top" shrinkToFit="1"/>
    </xf>
    <xf numFmtId="9" fontId="53" fillId="0" borderId="0" xfId="0" applyNumberFormat="1" applyFont="1" applyAlignment="1">
      <alignment horizontal="center" vertical="top" shrinkToFit="1"/>
    </xf>
    <xf numFmtId="0" fontId="53" fillId="0" borderId="18" xfId="0" applyFont="1" applyBorder="1" applyAlignment="1">
      <alignment horizontal="left" vertical="top" wrapText="1" indent="1"/>
    </xf>
    <xf numFmtId="1" fontId="53" fillId="0" borderId="18" xfId="0" applyNumberFormat="1" applyFont="1" applyBorder="1" applyAlignment="1">
      <alignment horizontal="center" vertical="top" shrinkToFit="1"/>
    </xf>
    <xf numFmtId="1" fontId="53" fillId="0" borderId="22" xfId="0" applyNumberFormat="1" applyFont="1" applyBorder="1" applyAlignment="1">
      <alignment horizontal="center" vertical="top" shrinkToFit="1"/>
    </xf>
    <xf numFmtId="1" fontId="53" fillId="0" borderId="23" xfId="0" applyNumberFormat="1" applyFont="1" applyBorder="1" applyAlignment="1">
      <alignment horizontal="center" vertical="top" shrinkToFit="1"/>
    </xf>
    <xf numFmtId="9" fontId="53" fillId="0" borderId="23" xfId="0" applyNumberFormat="1" applyFont="1" applyBorder="1" applyAlignment="1">
      <alignment horizontal="center" vertical="top" shrinkToFit="1"/>
    </xf>
    <xf numFmtId="9" fontId="53" fillId="0" borderId="18" xfId="0" applyNumberFormat="1" applyFont="1" applyBorder="1" applyAlignment="1">
      <alignment horizontal="center" vertical="top" shrinkToFit="1"/>
    </xf>
    <xf numFmtId="0" fontId="54" fillId="0" borderId="0" xfId="0" applyFont="1" applyAlignment="1">
      <alignment vertical="center" wrapText="1"/>
    </xf>
    <xf numFmtId="0" fontId="52" fillId="0" borderId="17" xfId="0" applyFont="1" applyBorder="1" applyAlignment="1">
      <alignment horizontal="left" vertical="top" indent="1"/>
    </xf>
    <xf numFmtId="0" fontId="55" fillId="0" borderId="0" xfId="0" applyFont="1" applyAlignment="1">
      <alignment horizontal="left" vertical="top" indent="1"/>
    </xf>
    <xf numFmtId="0" fontId="11" fillId="0" borderId="0" xfId="0" applyFont="1" applyAlignment="1">
      <alignment horizontal="left"/>
    </xf>
    <xf numFmtId="0" fontId="56" fillId="0" borderId="0" xfId="0" applyFont="1" applyAlignment="1">
      <alignment vertical="center" wrapText="1"/>
    </xf>
    <xf numFmtId="0" fontId="27" fillId="0" borderId="0" xfId="0" applyFont="1" applyAlignment="1">
      <alignment horizontal="left" vertical="top" indent="1"/>
    </xf>
    <xf numFmtId="0" fontId="27" fillId="23" borderId="0" xfId="0" applyFont="1" applyFill="1" applyAlignment="1">
      <alignment horizontal="left" vertical="top" indent="1"/>
    </xf>
    <xf numFmtId="1" fontId="27" fillId="0" borderId="0" xfId="0" applyNumberFormat="1" applyFont="1" applyAlignment="1">
      <alignment horizontal="left" vertical="top" indent="1"/>
    </xf>
    <xf numFmtId="1" fontId="27" fillId="23" borderId="0" xfId="0" applyNumberFormat="1" applyFont="1" applyFill="1" applyAlignment="1">
      <alignment horizontal="left" vertical="top" indent="1"/>
    </xf>
    <xf numFmtId="0" fontId="1" fillId="0" borderId="0" xfId="0" applyFont="1" applyAlignment="1">
      <alignment horizontal="left"/>
    </xf>
    <xf numFmtId="3" fontId="1" fillId="6" borderId="0" xfId="0" applyNumberFormat="1" applyFont="1" applyFill="1" applyAlignment="1">
      <alignment horizontal="center"/>
    </xf>
    <xf numFmtId="2" fontId="1" fillId="6" borderId="0" xfId="0" applyNumberFormat="1" applyFont="1" applyFill="1" applyAlignment="1">
      <alignment horizontal="center"/>
    </xf>
    <xf numFmtId="0" fontId="0" fillId="6" borderId="0" xfId="0" applyFill="1"/>
    <xf numFmtId="0" fontId="1" fillId="6" borderId="0" xfId="0" applyFont="1" applyFill="1" applyAlignment="1">
      <alignment horizontal="center"/>
    </xf>
    <xf numFmtId="0" fontId="50" fillId="6" borderId="0" xfId="0" applyFont="1" applyFill="1" applyAlignment="1">
      <alignment horizontal="center"/>
    </xf>
    <xf numFmtId="1" fontId="11" fillId="0" borderId="0" xfId="0" applyNumberFormat="1" applyFont="1" applyAlignment="1">
      <alignment horizontal="center"/>
    </xf>
    <xf numFmtId="0" fontId="12" fillId="0" borderId="0" xfId="0" applyFont="1" applyAlignment="1">
      <alignment horizontal="left" indent="1"/>
    </xf>
    <xf numFmtId="0" fontId="12" fillId="0" borderId="0" xfId="0" applyFont="1" applyAlignment="1">
      <alignment horizontal="left" indent="2"/>
    </xf>
    <xf numFmtId="0" fontId="12" fillId="2" borderId="0" xfId="0" applyFont="1" applyFill="1" applyAlignment="1">
      <alignment horizontal="left"/>
    </xf>
    <xf numFmtId="3" fontId="12" fillId="0" borderId="0" xfId="0" applyNumberFormat="1" applyFont="1" applyAlignment="1">
      <alignment horizontal="center"/>
    </xf>
    <xf numFmtId="1" fontId="12" fillId="0" borderId="0" xfId="0" applyNumberFormat="1" applyFont="1" applyAlignment="1">
      <alignment horizontal="center"/>
    </xf>
    <xf numFmtId="3" fontId="12" fillId="2" borderId="0" xfId="0" applyNumberFormat="1" applyFont="1" applyFill="1" applyAlignment="1">
      <alignment horizontal="center"/>
    </xf>
    <xf numFmtId="0" fontId="12" fillId="2" borderId="0" xfId="0" applyFont="1" applyFill="1" applyAlignment="1">
      <alignment horizontal="right"/>
    </xf>
    <xf numFmtId="0" fontId="57" fillId="2" borderId="0" xfId="0" applyFont="1" applyFill="1" applyAlignment="1">
      <alignment vertical="top"/>
    </xf>
    <xf numFmtId="0" fontId="1" fillId="2" borderId="0" xfId="0" applyFont="1" applyFill="1" applyAlignment="1">
      <alignment vertical="center" textRotation="90" wrapText="1"/>
    </xf>
    <xf numFmtId="0" fontId="12" fillId="2" borderId="0" xfId="0" applyFont="1" applyFill="1" applyAlignment="1">
      <alignment horizontal="left" indent="1"/>
    </xf>
    <xf numFmtId="9" fontId="59" fillId="2" borderId="0" xfId="0" applyNumberFormat="1" applyFont="1" applyFill="1"/>
    <xf numFmtId="0" fontId="19" fillId="2" borderId="0" xfId="0" applyFont="1" applyFill="1" applyAlignment="1">
      <alignment horizontal="center"/>
    </xf>
    <xf numFmtId="0" fontId="57" fillId="2" borderId="0" xfId="0" applyFont="1" applyFill="1" applyAlignment="1">
      <alignment horizontal="center" vertical="top"/>
    </xf>
    <xf numFmtId="0" fontId="0" fillId="2" borderId="0" xfId="0" applyFill="1" applyAlignment="1">
      <alignment horizontal="center"/>
    </xf>
    <xf numFmtId="0" fontId="58" fillId="2" borderId="0" xfId="0" applyFont="1" applyFill="1" applyAlignment="1">
      <alignment horizontal="center"/>
    </xf>
    <xf numFmtId="0" fontId="60" fillId="0" borderId="0" xfId="0" applyFont="1"/>
    <xf numFmtId="0" fontId="60" fillId="0" borderId="29" xfId="0" applyFont="1" applyBorder="1" applyAlignment="1">
      <alignment horizontal="right" vertical="top" wrapText="1"/>
    </xf>
    <xf numFmtId="0" fontId="60" fillId="0" borderId="30" xfId="0" applyFont="1" applyBorder="1" applyAlignment="1">
      <alignment horizontal="right" vertical="center" wrapText="1"/>
    </xf>
    <xf numFmtId="0" fontId="60" fillId="0" borderId="31" xfId="0" applyFont="1" applyBorder="1" applyAlignment="1">
      <alignment horizontal="right" vertical="center" wrapText="1"/>
    </xf>
    <xf numFmtId="0" fontId="49" fillId="0" borderId="28" xfId="0" applyFont="1" applyBorder="1" applyAlignment="1">
      <alignment horizontal="right" vertical="center" wrapText="1"/>
    </xf>
    <xf numFmtId="3" fontId="49" fillId="0" borderId="28" xfId="0" applyNumberFormat="1" applyFont="1" applyBorder="1" applyAlignment="1">
      <alignment horizontal="right" vertical="center" wrapText="1"/>
    </xf>
    <xf numFmtId="0" fontId="60" fillId="0" borderId="0" xfId="0" applyFont="1" applyAlignment="1">
      <alignment horizontal="right" vertical="center" wrapText="1"/>
    </xf>
    <xf numFmtId="3" fontId="60" fillId="0" borderId="0" xfId="0" applyNumberFormat="1" applyFont="1" applyAlignment="1">
      <alignment horizontal="right" vertical="center" wrapText="1"/>
    </xf>
    <xf numFmtId="0" fontId="49" fillId="6" borderId="27" xfId="0" applyFont="1" applyFill="1" applyBorder="1" applyAlignment="1">
      <alignment horizontal="right" wrapText="1"/>
    </xf>
    <xf numFmtId="0" fontId="14" fillId="8" borderId="3" xfId="0" applyFont="1" applyFill="1" applyBorder="1" applyAlignment="1">
      <alignment horizontal="left" vertical="center" wrapText="1"/>
    </xf>
    <xf numFmtId="0" fontId="14" fillId="9" borderId="3" xfId="0" applyFont="1" applyFill="1" applyBorder="1" applyAlignment="1">
      <alignment horizontal="left" vertical="center" wrapText="1"/>
    </xf>
    <xf numFmtId="0" fontId="14" fillId="10" borderId="3" xfId="0" applyFont="1" applyFill="1" applyBorder="1" applyAlignment="1">
      <alignment horizontal="left" vertical="center" wrapText="1"/>
    </xf>
    <xf numFmtId="0" fontId="27" fillId="0" borderId="5" xfId="0" applyFont="1" applyBorder="1" applyAlignment="1">
      <alignment horizontal="left" vertical="top"/>
    </xf>
    <xf numFmtId="0" fontId="14" fillId="25" borderId="3" xfId="0" applyFont="1" applyFill="1" applyBorder="1" applyAlignment="1">
      <alignment horizontal="left" vertical="center" wrapText="1"/>
    </xf>
    <xf numFmtId="0" fontId="14" fillId="25" borderId="1" xfId="0" applyFont="1" applyFill="1" applyBorder="1" applyAlignment="1">
      <alignment horizontal="left" vertical="center" wrapText="1"/>
    </xf>
    <xf numFmtId="0" fontId="14" fillId="25" borderId="1" xfId="0" applyFont="1" applyFill="1" applyBorder="1" applyAlignment="1">
      <alignment horizontal="left" vertical="center"/>
    </xf>
    <xf numFmtId="168" fontId="26" fillId="0" borderId="5" xfId="2" applyNumberFormat="1" applyFont="1" applyBorder="1" applyAlignment="1">
      <alignment horizontal="right" vertical="top" shrinkToFit="1"/>
    </xf>
    <xf numFmtId="0" fontId="14" fillId="5" borderId="3" xfId="0" applyFont="1" applyFill="1" applyBorder="1" applyAlignment="1">
      <alignment horizontal="left" vertical="center" wrapText="1"/>
    </xf>
    <xf numFmtId="164" fontId="26" fillId="0" borderId="5" xfId="0" applyNumberFormat="1" applyFont="1" applyBorder="1" applyAlignment="1">
      <alignment horizontal="right" vertical="top" shrinkToFit="1"/>
    </xf>
    <xf numFmtId="0" fontId="63" fillId="2" borderId="0" xfId="0" applyFont="1" applyFill="1"/>
    <xf numFmtId="0" fontId="22" fillId="2" borderId="0" xfId="0" applyFont="1" applyFill="1" applyAlignment="1">
      <alignment horizontal="left" indent="1"/>
    </xf>
    <xf numFmtId="3" fontId="12" fillId="2" borderId="0" xfId="0" applyNumberFormat="1" applyFont="1" applyFill="1" applyAlignment="1">
      <alignment horizontal="left"/>
    </xf>
    <xf numFmtId="0" fontId="64" fillId="2" borderId="0" xfId="0" applyFont="1" applyFill="1"/>
    <xf numFmtId="1" fontId="12" fillId="0" borderId="0" xfId="0" applyNumberFormat="1" applyFont="1"/>
    <xf numFmtId="2" fontId="12" fillId="0" borderId="0" xfId="0" applyNumberFormat="1" applyFont="1"/>
    <xf numFmtId="0" fontId="17" fillId="0" borderId="0" xfId="1" applyFont="1" applyAlignment="1">
      <alignment horizontal="left" indent="1"/>
    </xf>
    <xf numFmtId="164" fontId="28" fillId="6" borderId="5" xfId="0" applyNumberFormat="1" applyFont="1" applyFill="1" applyBorder="1" applyAlignment="1">
      <alignment horizontal="center" vertical="center" wrapText="1"/>
    </xf>
    <xf numFmtId="0" fontId="0" fillId="26" borderId="0" xfId="0" applyFill="1"/>
    <xf numFmtId="2" fontId="12" fillId="26" borderId="0" xfId="0" applyNumberFormat="1" applyFont="1" applyFill="1"/>
    <xf numFmtId="164" fontId="12" fillId="6" borderId="0" xfId="0" applyNumberFormat="1" applyFont="1" applyFill="1"/>
    <xf numFmtId="2" fontId="0" fillId="26" borderId="0" xfId="0" applyNumberFormat="1" applyFill="1"/>
    <xf numFmtId="0" fontId="63" fillId="2" borderId="0" xfId="0" applyFont="1" applyFill="1" applyAlignment="1">
      <alignment textRotation="90"/>
    </xf>
    <xf numFmtId="0" fontId="38" fillId="2" borderId="0" xfId="0" applyFont="1" applyFill="1"/>
    <xf numFmtId="0" fontId="38" fillId="2" borderId="0" xfId="0" applyFont="1" applyFill="1" applyAlignment="1">
      <alignment horizontal="right"/>
    </xf>
    <xf numFmtId="3" fontId="38" fillId="2" borderId="0" xfId="0" applyNumberFormat="1" applyFont="1" applyFill="1"/>
    <xf numFmtId="1" fontId="38" fillId="2" borderId="0" xfId="0" applyNumberFormat="1" applyFont="1" applyFill="1"/>
    <xf numFmtId="0" fontId="65" fillId="2" borderId="0" xfId="0" applyFont="1" applyFill="1"/>
    <xf numFmtId="9" fontId="26" fillId="20" borderId="5" xfId="2" applyFont="1" applyFill="1" applyBorder="1" applyAlignment="1">
      <alignment horizontal="right" vertical="top" wrapText="1"/>
    </xf>
    <xf numFmtId="0" fontId="11" fillId="2" borderId="0" xfId="0" applyFont="1" applyFill="1" applyAlignment="1">
      <alignment horizontal="left"/>
    </xf>
    <xf numFmtId="0" fontId="11" fillId="2" borderId="0" xfId="0" applyFont="1" applyFill="1" applyAlignment="1">
      <alignment horizontal="center" wrapText="1"/>
    </xf>
    <xf numFmtId="0" fontId="26" fillId="20" borderId="8" xfId="0" applyFont="1" applyFill="1" applyBorder="1" applyAlignment="1">
      <alignment horizontal="center" vertical="top" wrapText="1"/>
    </xf>
    <xf numFmtId="0" fontId="26" fillId="20" borderId="9" xfId="0" applyFont="1" applyFill="1" applyBorder="1" applyAlignment="1">
      <alignment horizontal="center" vertical="top" wrapText="1"/>
    </xf>
    <xf numFmtId="0" fontId="22" fillId="2" borderId="0" xfId="0" applyFont="1" applyFill="1" applyAlignment="1">
      <alignment horizontal="left"/>
    </xf>
    <xf numFmtId="0" fontId="11" fillId="2" borderId="0" xfId="0" applyFont="1" applyFill="1"/>
    <xf numFmtId="3" fontId="27" fillId="0" borderId="0" xfId="0" applyNumberFormat="1" applyFont="1" applyAlignment="1">
      <alignment horizontal="right" vertical="top" shrinkToFit="1"/>
    </xf>
    <xf numFmtId="0" fontId="26" fillId="20" borderId="7" xfId="0" applyFont="1" applyFill="1" applyBorder="1" applyAlignment="1">
      <alignment horizontal="right" vertical="top" wrapText="1"/>
    </xf>
    <xf numFmtId="0" fontId="67" fillId="0" borderId="0" xfId="1" applyFont="1"/>
    <xf numFmtId="0" fontId="27" fillId="0" borderId="0" xfId="0" applyFont="1" applyAlignment="1">
      <alignment horizontal="left" vertical="top"/>
    </xf>
    <xf numFmtId="166" fontId="27" fillId="0" borderId="0" xfId="0" applyNumberFormat="1" applyFont="1" applyAlignment="1">
      <alignment horizontal="right" vertical="top" shrinkToFit="1"/>
    </xf>
    <xf numFmtId="9" fontId="12" fillId="26" borderId="0" xfId="0" applyNumberFormat="1" applyFont="1" applyFill="1" applyAlignment="1">
      <alignment horizontal="center"/>
    </xf>
    <xf numFmtId="0" fontId="12" fillId="0" borderId="0" xfId="0" applyFont="1" applyAlignment="1">
      <alignment horizontal="right"/>
    </xf>
    <xf numFmtId="0" fontId="26" fillId="0" borderId="0" xfId="0" applyFont="1" applyAlignment="1">
      <alignment horizontal="left" vertical="top"/>
    </xf>
    <xf numFmtId="166" fontId="27" fillId="0" borderId="5" xfId="0" applyNumberFormat="1" applyFont="1" applyBorder="1" applyAlignment="1">
      <alignment horizontal="left" vertical="top" shrinkToFit="1"/>
    </xf>
    <xf numFmtId="0" fontId="41" fillId="2" borderId="0" xfId="0" applyFont="1" applyFill="1" applyAlignment="1">
      <alignment horizontal="left"/>
    </xf>
    <xf numFmtId="0" fontId="24" fillId="2" borderId="0" xfId="0" applyFont="1" applyFill="1" applyAlignment="1">
      <alignment horizontal="left" vertical="center"/>
    </xf>
    <xf numFmtId="3" fontId="12" fillId="0" borderId="0" xfId="0" applyNumberFormat="1" applyFont="1" applyAlignment="1">
      <alignment horizontal="right"/>
    </xf>
    <xf numFmtId="166" fontId="26" fillId="0" borderId="5" xfId="0" applyNumberFormat="1" applyFont="1" applyBorder="1" applyAlignment="1">
      <alignment horizontal="left" vertical="top" shrinkToFit="1"/>
    </xf>
    <xf numFmtId="166" fontId="26" fillId="0" borderId="5" xfId="0" applyNumberFormat="1" applyFont="1" applyBorder="1" applyAlignment="1">
      <alignment horizontal="right" vertical="top" shrinkToFit="1"/>
    </xf>
    <xf numFmtId="0" fontId="26" fillId="20" borderId="35" xfId="0" applyFont="1" applyFill="1" applyBorder="1" applyAlignment="1">
      <alignment horizontal="right" vertical="top" wrapText="1"/>
    </xf>
    <xf numFmtId="0" fontId="69" fillId="0" borderId="0" xfId="0" applyFont="1" applyAlignment="1">
      <alignment horizontal="left" vertical="top" wrapText="1"/>
    </xf>
    <xf numFmtId="0" fontId="38" fillId="7" borderId="0" xfId="0" applyFont="1" applyFill="1"/>
    <xf numFmtId="0" fontId="38" fillId="7" borderId="0" xfId="0" applyFont="1" applyFill="1" applyAlignment="1">
      <alignment horizontal="right"/>
    </xf>
    <xf numFmtId="3" fontId="38" fillId="7" borderId="0" xfId="0" applyNumberFormat="1" applyFont="1" applyFill="1"/>
    <xf numFmtId="1" fontId="38" fillId="7" borderId="0" xfId="0" applyNumberFormat="1" applyFont="1" applyFill="1"/>
    <xf numFmtId="0" fontId="12" fillId="2" borderId="0" xfId="0" applyFont="1" applyFill="1"/>
    <xf numFmtId="0" fontId="11" fillId="2" borderId="0" xfId="0" applyFont="1" applyFill="1" applyAlignment="1">
      <alignment horizontal="center"/>
    </xf>
    <xf numFmtId="0" fontId="12" fillId="2" borderId="0" xfId="0" applyFont="1" applyFill="1" applyAlignment="1">
      <alignment horizontal="center"/>
    </xf>
    <xf numFmtId="0" fontId="17" fillId="10" borderId="3" xfId="1" applyFont="1" applyFill="1" applyBorder="1" applyAlignment="1">
      <alignment horizontal="left" vertical="center"/>
    </xf>
    <xf numFmtId="0" fontId="46" fillId="2" borderId="0" xfId="0" applyFont="1" applyFill="1"/>
    <xf numFmtId="9" fontId="12" fillId="2" borderId="0" xfId="0" applyNumberFormat="1" applyFont="1" applyFill="1" applyAlignment="1">
      <alignment horizontal="left"/>
    </xf>
    <xf numFmtId="0" fontId="70" fillId="28" borderId="0" xfId="0" applyFont="1" applyFill="1" applyAlignment="1">
      <alignment horizontal="center" vertical="center"/>
    </xf>
    <xf numFmtId="0" fontId="70" fillId="27" borderId="0" xfId="0" applyFont="1" applyFill="1" applyAlignment="1">
      <alignment horizontal="center" vertical="center"/>
    </xf>
    <xf numFmtId="0" fontId="70" fillId="17" borderId="0" xfId="0" applyFont="1" applyFill="1" applyAlignment="1">
      <alignment horizontal="center" vertical="center"/>
    </xf>
    <xf numFmtId="0" fontId="4" fillId="0" borderId="0" xfId="0" applyFont="1"/>
    <xf numFmtId="0" fontId="24" fillId="2" borderId="0" xfId="0" applyFont="1" applyFill="1"/>
    <xf numFmtId="0" fontId="71" fillId="2" borderId="0" xfId="0" applyFont="1" applyFill="1"/>
    <xf numFmtId="0" fontId="12" fillId="7" borderId="0" xfId="0" applyFont="1" applyFill="1"/>
    <xf numFmtId="49" fontId="72" fillId="7" borderId="0" xfId="0" applyNumberFormat="1" applyFont="1" applyFill="1" applyAlignment="1">
      <alignment horizontal="right"/>
    </xf>
    <xf numFmtId="0" fontId="73" fillId="7" borderId="0" xfId="0" applyFont="1" applyFill="1" applyProtection="1">
      <protection locked="0"/>
    </xf>
    <xf numFmtId="3" fontId="73" fillId="7" borderId="0" xfId="0" applyNumberFormat="1" applyFont="1" applyFill="1"/>
    <xf numFmtId="0" fontId="73" fillId="7" borderId="0" xfId="0" applyFont="1" applyFill="1" applyAlignment="1" applyProtection="1">
      <alignment horizontal="left" indent="1"/>
      <protection locked="0"/>
    </xf>
    <xf numFmtId="3" fontId="73" fillId="7" borderId="0" xfId="0" applyNumberFormat="1" applyFont="1" applyFill="1" applyAlignment="1">
      <alignment horizontal="right"/>
    </xf>
    <xf numFmtId="0" fontId="46" fillId="2" borderId="0" xfId="0" applyFont="1" applyFill="1" applyAlignment="1">
      <alignment horizontal="center"/>
    </xf>
    <xf numFmtId="0" fontId="17" fillId="2" borderId="0" xfId="1" applyFont="1" applyFill="1" applyAlignment="1">
      <alignment horizontal="left"/>
    </xf>
    <xf numFmtId="0" fontId="22" fillId="0" borderId="0" xfId="0" applyFont="1" applyAlignment="1">
      <alignment horizontal="left" indent="1"/>
    </xf>
    <xf numFmtId="0" fontId="22" fillId="7" borderId="0" xfId="0" applyFont="1" applyFill="1"/>
    <xf numFmtId="3" fontId="0" fillId="2" borderId="0" xfId="0" applyNumberFormat="1" applyFill="1"/>
    <xf numFmtId="0" fontId="27" fillId="0" borderId="0" xfId="0" applyFont="1" applyAlignment="1">
      <alignment horizontal="right" vertical="top"/>
    </xf>
    <xf numFmtId="166" fontId="38" fillId="7" borderId="0" xfId="0" applyNumberFormat="1" applyFont="1" applyFill="1"/>
    <xf numFmtId="2" fontId="38" fillId="7" borderId="0" xfId="0" applyNumberFormat="1" applyFont="1" applyFill="1"/>
    <xf numFmtId="0" fontId="22" fillId="0" borderId="0" xfId="0" applyFont="1" applyAlignment="1">
      <alignment horizontal="center"/>
    </xf>
    <xf numFmtId="3" fontId="11" fillId="0" borderId="0" xfId="0" applyNumberFormat="1" applyFont="1" applyAlignment="1">
      <alignment horizontal="right"/>
    </xf>
    <xf numFmtId="0" fontId="46" fillId="0" borderId="0" xfId="0" applyFont="1" applyAlignment="1">
      <alignment horizontal="left"/>
    </xf>
    <xf numFmtId="0" fontId="46" fillId="2" borderId="0" xfId="0" quotePrefix="1" applyFont="1" applyFill="1"/>
    <xf numFmtId="0" fontId="12" fillId="0" borderId="0" xfId="0" applyFont="1" applyAlignment="1">
      <alignment vertical="center"/>
    </xf>
    <xf numFmtId="0" fontId="11" fillId="0" borderId="0" xfId="0" applyFont="1" applyAlignment="1">
      <alignment horizontal="right" vertical="center"/>
    </xf>
    <xf numFmtId="9" fontId="11" fillId="0" borderId="0" xfId="2" applyFont="1"/>
    <xf numFmtId="0" fontId="46" fillId="0" borderId="0" xfId="0" applyFont="1" applyAlignment="1">
      <alignment horizontal="center"/>
    </xf>
    <xf numFmtId="0" fontId="22" fillId="0" borderId="0" xfId="0" applyFont="1" applyAlignment="1">
      <alignment horizontal="left"/>
    </xf>
    <xf numFmtId="9" fontId="0" fillId="2" borderId="0" xfId="0" applyNumberFormat="1" applyFill="1"/>
    <xf numFmtId="0" fontId="17" fillId="9" borderId="3" xfId="1" applyFont="1" applyFill="1" applyBorder="1" applyAlignment="1">
      <alignment horizontal="left" vertical="center"/>
    </xf>
    <xf numFmtId="0" fontId="3" fillId="9" borderId="1" xfId="1" applyFill="1" applyBorder="1" applyAlignment="1">
      <alignment horizontal="left" vertical="center"/>
    </xf>
    <xf numFmtId="0" fontId="67" fillId="0" borderId="0" xfId="1" applyFont="1" applyAlignment="1">
      <alignment horizontal="left"/>
    </xf>
    <xf numFmtId="164" fontId="12" fillId="6" borderId="5" xfId="0" applyNumberFormat="1" applyFont="1" applyFill="1" applyBorder="1"/>
    <xf numFmtId="0" fontId="11" fillId="0" borderId="0" xfId="0" applyFont="1" applyAlignment="1">
      <alignment horizontal="center"/>
    </xf>
    <xf numFmtId="0" fontId="3" fillId="0" borderId="0" xfId="1" applyFill="1" applyAlignment="1">
      <alignment horizontal="left"/>
    </xf>
    <xf numFmtId="0" fontId="17" fillId="12" borderId="3" xfId="1" applyFont="1" applyFill="1" applyBorder="1" applyAlignment="1">
      <alignment horizontal="left" vertical="center" wrapText="1"/>
    </xf>
    <xf numFmtId="0" fontId="3" fillId="2" borderId="0" xfId="1" applyFill="1" applyAlignment="1">
      <alignment horizontal="left"/>
    </xf>
    <xf numFmtId="0" fontId="17" fillId="13" borderId="3" xfId="1" applyFont="1" applyFill="1" applyBorder="1" applyAlignment="1">
      <alignment horizontal="left" vertical="center" wrapText="1"/>
    </xf>
    <xf numFmtId="0" fontId="17" fillId="15" borderId="3" xfId="1" applyFont="1" applyFill="1" applyBorder="1" applyAlignment="1">
      <alignment horizontal="left" vertical="center" wrapText="1"/>
    </xf>
    <xf numFmtId="0" fontId="80" fillId="0" borderId="0" xfId="0" applyFont="1"/>
    <xf numFmtId="0" fontId="17" fillId="2" borderId="0" xfId="1" applyFont="1" applyFill="1" applyAlignment="1">
      <alignment vertical="top"/>
    </xf>
    <xf numFmtId="3" fontId="11" fillId="7" borderId="0" xfId="0" applyNumberFormat="1" applyFont="1" applyFill="1" applyAlignment="1">
      <alignment horizontal="center"/>
    </xf>
    <xf numFmtId="0" fontId="83" fillId="2" borderId="0" xfId="0" applyFont="1" applyFill="1" applyAlignment="1">
      <alignment horizontal="left"/>
    </xf>
    <xf numFmtId="0" fontId="83" fillId="2" borderId="0" xfId="0" applyFont="1" applyFill="1" applyAlignment="1">
      <alignment horizontal="center"/>
    </xf>
    <xf numFmtId="0" fontId="14" fillId="14" borderId="32" xfId="0" applyFont="1" applyFill="1" applyBorder="1" applyAlignment="1">
      <alignment horizontal="left" vertical="center" wrapText="1"/>
    </xf>
    <xf numFmtId="9" fontId="4" fillId="2" borderId="0" xfId="0" applyNumberFormat="1" applyFont="1" applyFill="1"/>
    <xf numFmtId="0" fontId="17" fillId="9" borderId="3" xfId="1" applyFont="1" applyFill="1" applyBorder="1" applyAlignment="1">
      <alignment horizontal="left" vertical="center" wrapText="1"/>
    </xf>
    <xf numFmtId="0" fontId="84" fillId="2" borderId="0" xfId="0" applyFont="1" applyFill="1"/>
    <xf numFmtId="0" fontId="65" fillId="2" borderId="0" xfId="0" applyFont="1" applyFill="1" applyAlignment="1">
      <alignment horizontal="center"/>
    </xf>
    <xf numFmtId="0" fontId="12" fillId="18" borderId="0" xfId="0" applyFont="1" applyFill="1"/>
    <xf numFmtId="0" fontId="85" fillId="2" borderId="0" xfId="0" applyFont="1" applyFill="1"/>
    <xf numFmtId="0" fontId="31" fillId="0" borderId="0" xfId="0" applyFont="1" applyAlignment="1">
      <alignment horizontal="left" indent="4"/>
    </xf>
    <xf numFmtId="0" fontId="11" fillId="6" borderId="0" xfId="0" applyFont="1" applyFill="1" applyAlignment="1">
      <alignment horizontal="left" vertical="center"/>
    </xf>
    <xf numFmtId="0" fontId="11" fillId="0" borderId="0" xfId="0" applyFont="1" applyAlignment="1">
      <alignment vertical="center"/>
    </xf>
    <xf numFmtId="0" fontId="0" fillId="0" borderId="0" xfId="0" applyAlignment="1">
      <alignment horizontal="right"/>
    </xf>
    <xf numFmtId="0" fontId="11" fillId="0" borderId="0" xfId="0" applyFont="1" applyAlignment="1">
      <alignment horizontal="right"/>
    </xf>
    <xf numFmtId="0" fontId="27" fillId="20" borderId="0" xfId="0" applyFont="1" applyFill="1" applyAlignment="1">
      <alignment horizontal="left" vertical="top" wrapText="1"/>
    </xf>
    <xf numFmtId="0" fontId="86" fillId="0" borderId="0" xfId="0" applyFont="1"/>
    <xf numFmtId="0" fontId="17" fillId="8" borderId="39" xfId="1" applyFont="1" applyFill="1" applyBorder="1" applyAlignment="1">
      <alignment horizontal="left" vertical="center"/>
    </xf>
    <xf numFmtId="0" fontId="17" fillId="9" borderId="39" xfId="1" applyFont="1" applyFill="1" applyBorder="1" applyAlignment="1">
      <alignment horizontal="left" vertical="center"/>
    </xf>
    <xf numFmtId="0" fontId="17" fillId="10" borderId="39" xfId="1" applyFont="1" applyFill="1" applyBorder="1" applyAlignment="1">
      <alignment horizontal="left" vertical="center"/>
    </xf>
    <xf numFmtId="0" fontId="17" fillId="13" borderId="39" xfId="1" applyFont="1" applyFill="1" applyBorder="1" applyAlignment="1">
      <alignment horizontal="left" vertical="center"/>
    </xf>
    <xf numFmtId="0" fontId="77" fillId="0" borderId="37" xfId="0" applyFont="1" applyBorder="1"/>
    <xf numFmtId="0" fontId="63" fillId="2" borderId="0" xfId="0" applyFont="1" applyFill="1" applyAlignment="1">
      <alignment horizontal="center"/>
    </xf>
    <xf numFmtId="0" fontId="17" fillId="10" borderId="37" xfId="1" applyFont="1" applyFill="1" applyBorder="1" applyAlignment="1">
      <alignment horizontal="left" vertical="center"/>
    </xf>
    <xf numFmtId="0" fontId="17" fillId="12" borderId="37" xfId="1" applyFont="1" applyFill="1" applyBorder="1" applyAlignment="1">
      <alignment horizontal="left" vertical="center"/>
    </xf>
    <xf numFmtId="0" fontId="17" fillId="10" borderId="40" xfId="1" applyFont="1" applyFill="1" applyBorder="1" applyAlignment="1">
      <alignment horizontal="left" vertical="center"/>
    </xf>
    <xf numFmtId="0" fontId="90" fillId="0" borderId="0" xfId="0" applyFont="1" applyAlignment="1">
      <alignment horizontal="left"/>
    </xf>
    <xf numFmtId="3" fontId="12" fillId="0" borderId="0" xfId="0" applyNumberFormat="1" applyFont="1" applyAlignment="1">
      <alignment horizontal="left"/>
    </xf>
    <xf numFmtId="0" fontId="13" fillId="0" borderId="0" xfId="0" applyFont="1" applyAlignment="1">
      <alignment horizontal="left" vertical="center" wrapText="1"/>
    </xf>
    <xf numFmtId="0" fontId="13"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3" fillId="0" borderId="1" xfId="0" applyFont="1" applyBorder="1" applyAlignment="1">
      <alignment horizontal="left" vertical="center"/>
    </xf>
    <xf numFmtId="0" fontId="14" fillId="0" borderId="0" xfId="0" applyFont="1" applyAlignment="1">
      <alignment horizontal="center" vertical="center" wrapText="1"/>
    </xf>
    <xf numFmtId="0" fontId="91" fillId="0" borderId="0" xfId="0" applyFont="1" applyAlignment="1">
      <alignment horizontal="center"/>
    </xf>
    <xf numFmtId="0" fontId="49" fillId="0" borderId="0" xfId="0" applyFont="1" applyAlignment="1">
      <alignment horizontal="center"/>
    </xf>
    <xf numFmtId="9" fontId="12" fillId="18" borderId="0" xfId="2" applyFont="1" applyFill="1"/>
    <xf numFmtId="0" fontId="3" fillId="0" borderId="0" xfId="1" applyFill="1" applyBorder="1" applyAlignment="1">
      <alignment vertical="center"/>
    </xf>
    <xf numFmtId="0" fontId="14" fillId="12" borderId="3" xfId="0" applyFont="1" applyFill="1" applyBorder="1" applyAlignment="1">
      <alignment horizontal="left" vertical="center" wrapText="1"/>
    </xf>
    <xf numFmtId="0" fontId="83" fillId="0" borderId="0" xfId="0" applyFont="1" applyAlignment="1">
      <alignment horizontal="left"/>
    </xf>
    <xf numFmtId="0" fontId="3" fillId="0" borderId="0" xfId="1" applyAlignment="1">
      <alignment horizontal="left"/>
    </xf>
    <xf numFmtId="9" fontId="12" fillId="18" borderId="0" xfId="0" applyNumberFormat="1" applyFont="1" applyFill="1" applyAlignment="1">
      <alignment horizontal="center"/>
    </xf>
    <xf numFmtId="0" fontId="5" fillId="2" borderId="0" xfId="0" applyFont="1" applyFill="1" applyAlignment="1">
      <alignment horizontal="center" vertical="top"/>
    </xf>
    <xf numFmtId="0" fontId="92" fillId="2" borderId="0" xfId="0" applyFont="1" applyFill="1" applyAlignment="1">
      <alignment horizontal="center" vertical="top"/>
    </xf>
    <xf numFmtId="0" fontId="5" fillId="2" borderId="0" xfId="0" applyFont="1" applyFill="1" applyAlignment="1">
      <alignment horizontal="left" vertical="top"/>
    </xf>
    <xf numFmtId="0" fontId="92" fillId="2" borderId="0" xfId="0" applyFont="1" applyFill="1" applyAlignment="1">
      <alignment horizontal="left" vertical="top"/>
    </xf>
    <xf numFmtId="0" fontId="5" fillId="2" borderId="0" xfId="0" applyFont="1" applyFill="1" applyAlignment="1">
      <alignment horizontal="right" vertical="top"/>
    </xf>
    <xf numFmtId="3" fontId="8" fillId="2" borderId="0" xfId="0" applyNumberFormat="1" applyFont="1" applyFill="1" applyAlignment="1">
      <alignment horizontal="left"/>
    </xf>
    <xf numFmtId="0" fontId="88" fillId="0" borderId="38" xfId="0" applyFont="1" applyBorder="1" applyAlignment="1">
      <alignment horizontal="center" vertical="center" wrapText="1"/>
    </xf>
    <xf numFmtId="168" fontId="12" fillId="0" borderId="0" xfId="2" applyNumberFormat="1" applyFont="1"/>
    <xf numFmtId="164" fontId="0" fillId="0" borderId="0" xfId="0" applyNumberFormat="1"/>
    <xf numFmtId="1" fontId="0" fillId="0" borderId="0" xfId="0" applyNumberFormat="1"/>
    <xf numFmtId="0" fontId="1" fillId="0" borderId="0" xfId="0" applyFont="1" applyAlignment="1">
      <alignment horizontal="right"/>
    </xf>
    <xf numFmtId="166" fontId="11" fillId="0" borderId="0" xfId="0" applyNumberFormat="1" applyFont="1" applyAlignment="1">
      <alignment horizontal="center"/>
    </xf>
    <xf numFmtId="0" fontId="0" fillId="0" borderId="0" xfId="0" quotePrefix="1"/>
    <xf numFmtId="9" fontId="0" fillId="0" borderId="0" xfId="2" applyFont="1"/>
    <xf numFmtId="166" fontId="11" fillId="7" borderId="38" xfId="0" applyNumberFormat="1" applyFont="1" applyFill="1" applyBorder="1" applyAlignment="1">
      <alignment horizontal="center"/>
    </xf>
    <xf numFmtId="0" fontId="63" fillId="0" borderId="0" xfId="0" applyFont="1"/>
    <xf numFmtId="0" fontId="89" fillId="0" borderId="0" xfId="0" applyFont="1"/>
    <xf numFmtId="0" fontId="94" fillId="0" borderId="0" xfId="0" applyFont="1"/>
    <xf numFmtId="0" fontId="95" fillId="0" borderId="0" xfId="0" applyFont="1" applyAlignment="1">
      <alignment vertical="center"/>
    </xf>
    <xf numFmtId="3" fontId="76" fillId="30" borderId="43" xfId="0" applyNumberFormat="1" applyFont="1" applyFill="1" applyBorder="1" applyAlignment="1">
      <alignment horizontal="right" vertical="top" wrapText="1" shrinkToFit="1"/>
    </xf>
    <xf numFmtId="3" fontId="26" fillId="0" borderId="42" xfId="0" applyNumberFormat="1" applyFont="1" applyBorder="1" applyAlignment="1">
      <alignment horizontal="right" vertical="top" shrinkToFit="1"/>
    </xf>
    <xf numFmtId="3" fontId="26" fillId="0" borderId="43" xfId="0" applyNumberFormat="1" applyFont="1" applyBorder="1" applyAlignment="1">
      <alignment horizontal="right" vertical="top" shrinkToFit="1"/>
    </xf>
    <xf numFmtId="3" fontId="26" fillId="31" borderId="43" xfId="0" applyNumberFormat="1" applyFont="1" applyFill="1" applyBorder="1" applyAlignment="1">
      <alignment horizontal="right" vertical="top" shrinkToFit="1"/>
    </xf>
    <xf numFmtId="0" fontId="76" fillId="30" borderId="44" xfId="0" applyFont="1" applyFill="1" applyBorder="1" applyAlignment="1">
      <alignment horizontal="right" vertical="center" wrapText="1"/>
    </xf>
    <xf numFmtId="3" fontId="11" fillId="31" borderId="0" xfId="0" applyNumberFormat="1" applyFont="1" applyFill="1" applyAlignment="1">
      <alignment horizontal="left"/>
    </xf>
    <xf numFmtId="3" fontId="12" fillId="31" borderId="0" xfId="0" applyNumberFormat="1" applyFont="1" applyFill="1" applyAlignment="1">
      <alignment horizontal="left"/>
    </xf>
    <xf numFmtId="3" fontId="22" fillId="31" borderId="0" xfId="0" applyNumberFormat="1" applyFont="1" applyFill="1" applyAlignment="1">
      <alignment horizontal="left"/>
    </xf>
    <xf numFmtId="3" fontId="11" fillId="0" borderId="0" xfId="0" applyNumberFormat="1" applyFont="1" applyAlignment="1">
      <alignment horizontal="left"/>
    </xf>
    <xf numFmtId="0" fontId="76" fillId="30" borderId="45" xfId="0" applyFont="1" applyFill="1" applyBorder="1" applyAlignment="1">
      <alignment horizontal="right" vertical="center" wrapText="1"/>
    </xf>
    <xf numFmtId="0" fontId="0" fillId="31" borderId="43" xfId="0" applyFill="1" applyBorder="1"/>
    <xf numFmtId="3" fontId="12" fillId="31" borderId="43" xfId="0" applyNumberFormat="1" applyFont="1" applyFill="1" applyBorder="1" applyAlignment="1">
      <alignment horizontal="right"/>
    </xf>
    <xf numFmtId="3" fontId="11" fillId="31" borderId="43" xfId="0" applyNumberFormat="1" applyFont="1" applyFill="1" applyBorder="1" applyAlignment="1">
      <alignment horizontal="right"/>
    </xf>
    <xf numFmtId="3" fontId="22" fillId="31" borderId="43" xfId="0" applyNumberFormat="1" applyFont="1" applyFill="1" applyBorder="1" applyAlignment="1">
      <alignment horizontal="right"/>
    </xf>
    <xf numFmtId="3" fontId="12" fillId="0" borderId="43" xfId="0" applyNumberFormat="1" applyFont="1" applyBorder="1" applyAlignment="1">
      <alignment horizontal="right"/>
    </xf>
    <xf numFmtId="3" fontId="11" fillId="0" borderId="43" xfId="0" applyNumberFormat="1" applyFont="1" applyBorder="1" applyAlignment="1">
      <alignment horizontal="right"/>
    </xf>
    <xf numFmtId="3" fontId="22" fillId="31" borderId="46" xfId="0" applyNumberFormat="1" applyFont="1" applyFill="1" applyBorder="1" applyAlignment="1">
      <alignment horizontal="right"/>
    </xf>
    <xf numFmtId="0" fontId="12" fillId="0" borderId="41" xfId="0" applyFont="1" applyBorder="1"/>
    <xf numFmtId="0" fontId="11" fillId="0" borderId="42" xfId="0" applyFont="1" applyBorder="1"/>
    <xf numFmtId="0" fontId="0" fillId="0" borderId="42" xfId="0" applyBorder="1"/>
    <xf numFmtId="0" fontId="12" fillId="0" borderId="43" xfId="0" applyFont="1" applyBorder="1"/>
    <xf numFmtId="166" fontId="12" fillId="0" borderId="47" xfId="0" applyNumberFormat="1" applyFont="1" applyBorder="1" applyAlignment="1">
      <alignment horizontal="right"/>
    </xf>
    <xf numFmtId="3" fontId="11" fillId="0" borderId="47" xfId="0" applyNumberFormat="1" applyFont="1" applyBorder="1" applyAlignment="1">
      <alignment horizontal="right"/>
    </xf>
    <xf numFmtId="1" fontId="0" fillId="0" borderId="42" xfId="0" applyNumberFormat="1" applyBorder="1"/>
    <xf numFmtId="165" fontId="0" fillId="0" borderId="42" xfId="0" applyNumberFormat="1" applyBorder="1"/>
    <xf numFmtId="0" fontId="12" fillId="0" borderId="42" xfId="0" applyFont="1" applyBorder="1" applyAlignment="1">
      <alignment horizontal="center"/>
    </xf>
    <xf numFmtId="166" fontId="12" fillId="0" borderId="51" xfId="0" applyNumberFormat="1" applyFont="1" applyBorder="1" applyAlignment="1">
      <alignment horizontal="right"/>
    </xf>
    <xf numFmtId="3" fontId="11" fillId="0" borderId="51" xfId="0" applyNumberFormat="1" applyFont="1" applyBorder="1" applyAlignment="1">
      <alignment horizontal="right"/>
    </xf>
    <xf numFmtId="0" fontId="76" fillId="30" borderId="41" xfId="0" applyFont="1" applyFill="1" applyBorder="1" applyAlignment="1">
      <alignment horizontal="left" vertical="center"/>
    </xf>
    <xf numFmtId="0" fontId="76" fillId="30" borderId="42" xfId="0" applyFont="1" applyFill="1" applyBorder="1" applyAlignment="1">
      <alignment horizontal="left" vertical="center"/>
    </xf>
    <xf numFmtId="0" fontId="76" fillId="30" borderId="42" xfId="0" applyFont="1" applyFill="1" applyBorder="1" applyAlignment="1">
      <alignment horizontal="right" vertical="center" wrapText="1"/>
    </xf>
    <xf numFmtId="0" fontId="76" fillId="30" borderId="42" xfId="0" applyFont="1" applyFill="1" applyBorder="1" applyAlignment="1">
      <alignment horizontal="center" vertical="center" wrapText="1"/>
    </xf>
    <xf numFmtId="0" fontId="76" fillId="30" borderId="42" xfId="0" applyFont="1" applyFill="1" applyBorder="1" applyAlignment="1">
      <alignment horizontal="center" vertical="top" wrapText="1"/>
    </xf>
    <xf numFmtId="0" fontId="76" fillId="30" borderId="52" xfId="0" applyFont="1" applyFill="1" applyBorder="1" applyAlignment="1">
      <alignment horizontal="center" vertical="center" wrapText="1"/>
    </xf>
    <xf numFmtId="166" fontId="12" fillId="0" borderId="53" xfId="0" applyNumberFormat="1" applyFont="1" applyBorder="1" applyAlignment="1">
      <alignment horizontal="right"/>
    </xf>
    <xf numFmtId="3" fontId="11" fillId="0" borderId="53" xfId="0" applyNumberFormat="1" applyFont="1" applyBorder="1" applyAlignment="1">
      <alignment horizontal="right"/>
    </xf>
    <xf numFmtId="0" fontId="12" fillId="0" borderId="43" xfId="0" applyFont="1" applyBorder="1" applyAlignment="1">
      <alignment horizontal="right"/>
    </xf>
    <xf numFmtId="165" fontId="12" fillId="0" borderId="43" xfId="0" applyNumberFormat="1" applyFont="1" applyBorder="1" applyAlignment="1">
      <alignment horizontal="right"/>
    </xf>
    <xf numFmtId="0" fontId="12" fillId="0" borderId="0" xfId="0" applyFont="1" applyAlignment="1">
      <alignment horizontal="center"/>
    </xf>
    <xf numFmtId="0" fontId="91" fillId="0" borderId="54" xfId="0" applyFont="1" applyBorder="1" applyAlignment="1">
      <alignment horizontal="center"/>
    </xf>
    <xf numFmtId="0" fontId="91" fillId="0" borderId="55" xfId="0" applyFont="1" applyBorder="1" applyAlignment="1">
      <alignment horizontal="center"/>
    </xf>
    <xf numFmtId="0" fontId="91" fillId="0" borderId="56" xfId="0" applyFont="1" applyBorder="1" applyAlignment="1">
      <alignment horizontal="center"/>
    </xf>
    <xf numFmtId="3" fontId="12" fillId="0" borderId="58" xfId="0" applyNumberFormat="1" applyFont="1" applyBorder="1" applyAlignment="1">
      <alignment horizontal="right"/>
    </xf>
    <xf numFmtId="3" fontId="12" fillId="0" borderId="47" xfId="0" applyNumberFormat="1" applyFont="1" applyBorder="1" applyAlignment="1">
      <alignment horizontal="right"/>
    </xf>
    <xf numFmtId="3" fontId="12" fillId="0" borderId="59" xfId="0" applyNumberFormat="1" applyFont="1" applyBorder="1" applyAlignment="1">
      <alignment horizontal="right"/>
    </xf>
    <xf numFmtId="3" fontId="12" fillId="0" borderId="60" xfId="0" applyNumberFormat="1" applyFont="1" applyBorder="1" applyAlignment="1">
      <alignment horizontal="right"/>
    </xf>
    <xf numFmtId="3" fontId="12" fillId="0" borderId="48" xfId="0" applyNumberFormat="1" applyFont="1" applyBorder="1" applyAlignment="1">
      <alignment horizontal="right"/>
    </xf>
    <xf numFmtId="3" fontId="12" fillId="0" borderId="61" xfId="0" applyNumberFormat="1" applyFont="1" applyBorder="1" applyAlignment="1">
      <alignment horizontal="right"/>
    </xf>
    <xf numFmtId="3" fontId="12" fillId="0" borderId="62" xfId="0" applyNumberFormat="1" applyFont="1" applyBorder="1" applyAlignment="1">
      <alignment horizontal="right"/>
    </xf>
    <xf numFmtId="3" fontId="12" fillId="0" borderId="51" xfId="0" applyNumberFormat="1" applyFont="1" applyBorder="1" applyAlignment="1">
      <alignment horizontal="right"/>
    </xf>
    <xf numFmtId="3" fontId="12" fillId="0" borderId="46" xfId="0" applyNumberFormat="1" applyFont="1" applyBorder="1" applyAlignment="1">
      <alignment horizontal="right"/>
    </xf>
    <xf numFmtId="3" fontId="11" fillId="31" borderId="58" xfId="0" applyNumberFormat="1" applyFont="1" applyFill="1" applyBorder="1" applyAlignment="1">
      <alignment horizontal="right"/>
    </xf>
    <xf numFmtId="3" fontId="11" fillId="31" borderId="47" xfId="0" applyNumberFormat="1" applyFont="1" applyFill="1" applyBorder="1" applyAlignment="1">
      <alignment horizontal="right"/>
    </xf>
    <xf numFmtId="3" fontId="11" fillId="31" borderId="59" xfId="0" applyNumberFormat="1" applyFont="1" applyFill="1" applyBorder="1" applyAlignment="1">
      <alignment horizontal="right"/>
    </xf>
    <xf numFmtId="3" fontId="12" fillId="31" borderId="58" xfId="0" applyNumberFormat="1" applyFont="1" applyFill="1" applyBorder="1" applyAlignment="1">
      <alignment horizontal="right"/>
    </xf>
    <xf numFmtId="3" fontId="12" fillId="31" borderId="47" xfId="0" applyNumberFormat="1" applyFont="1" applyFill="1" applyBorder="1" applyAlignment="1">
      <alignment horizontal="right"/>
    </xf>
    <xf numFmtId="3" fontId="12" fillId="31" borderId="59" xfId="0" applyNumberFormat="1" applyFont="1" applyFill="1" applyBorder="1" applyAlignment="1">
      <alignment horizontal="right"/>
    </xf>
    <xf numFmtId="3" fontId="12" fillId="31" borderId="63" xfId="0" applyNumberFormat="1" applyFont="1" applyFill="1" applyBorder="1" applyAlignment="1">
      <alignment horizontal="right"/>
    </xf>
    <xf numFmtId="3" fontId="12" fillId="31" borderId="53" xfId="0" applyNumberFormat="1" applyFont="1" applyFill="1" applyBorder="1" applyAlignment="1">
      <alignment horizontal="right"/>
    </xf>
    <xf numFmtId="3" fontId="12" fillId="31" borderId="64" xfId="0" applyNumberFormat="1" applyFont="1" applyFill="1" applyBorder="1" applyAlignment="1">
      <alignment horizontal="right"/>
    </xf>
    <xf numFmtId="0" fontId="0" fillId="0" borderId="41" xfId="0" applyBorder="1"/>
    <xf numFmtId="166" fontId="12" fillId="0" borderId="58" xfId="0" applyNumberFormat="1" applyFont="1" applyBorder="1" applyAlignment="1">
      <alignment horizontal="right"/>
    </xf>
    <xf numFmtId="166" fontId="12" fillId="0" borderId="63" xfId="0" applyNumberFormat="1" applyFont="1" applyBorder="1" applyAlignment="1">
      <alignment horizontal="right"/>
    </xf>
    <xf numFmtId="166" fontId="12" fillId="0" borderId="62" xfId="0" applyNumberFormat="1" applyFont="1" applyBorder="1" applyAlignment="1">
      <alignment horizontal="right"/>
    </xf>
    <xf numFmtId="0" fontId="14" fillId="8" borderId="39" xfId="0" applyFont="1" applyFill="1" applyBorder="1" applyAlignment="1">
      <alignment horizontal="left" vertical="center"/>
    </xf>
    <xf numFmtId="0" fontId="14" fillId="9" borderId="39" xfId="0" applyFont="1" applyFill="1" applyBorder="1" applyAlignment="1">
      <alignment horizontal="left" vertical="center"/>
    </xf>
    <xf numFmtId="0" fontId="17" fillId="9" borderId="65" xfId="1" applyFont="1" applyFill="1" applyBorder="1" applyAlignment="1">
      <alignment horizontal="left" vertical="center"/>
    </xf>
    <xf numFmtId="0" fontId="14" fillId="9" borderId="65" xfId="0" applyFont="1" applyFill="1" applyBorder="1" applyAlignment="1">
      <alignment horizontal="left" vertical="top"/>
    </xf>
    <xf numFmtId="0" fontId="14" fillId="10" borderId="37" xfId="0" applyFont="1" applyFill="1" applyBorder="1" applyAlignment="1">
      <alignment horizontal="left" vertical="center"/>
    </xf>
    <xf numFmtId="0" fontId="14" fillId="10" borderId="39" xfId="0" applyFont="1" applyFill="1" applyBorder="1" applyAlignment="1">
      <alignment horizontal="left" vertical="center"/>
    </xf>
    <xf numFmtId="0" fontId="14" fillId="10" borderId="40" xfId="0" applyFont="1" applyFill="1" applyBorder="1" applyAlignment="1">
      <alignment horizontal="left" vertical="center"/>
    </xf>
    <xf numFmtId="0" fontId="14" fillId="12" borderId="37" xfId="0" applyFont="1" applyFill="1" applyBorder="1" applyAlignment="1">
      <alignment horizontal="left" vertical="center"/>
    </xf>
    <xf numFmtId="0" fontId="14" fillId="13" borderId="39" xfId="0" applyFont="1" applyFill="1" applyBorder="1" applyAlignment="1">
      <alignment horizontal="left" vertical="center"/>
    </xf>
    <xf numFmtId="0" fontId="17" fillId="15" borderId="65" xfId="1" applyFont="1" applyFill="1" applyBorder="1" applyAlignment="1">
      <alignment horizontal="left" vertical="center"/>
    </xf>
    <xf numFmtId="0" fontId="14" fillId="15" borderId="65" xfId="0" applyFont="1" applyFill="1" applyBorder="1" applyAlignment="1">
      <alignment horizontal="left" vertical="center"/>
    </xf>
    <xf numFmtId="3" fontId="76" fillId="30" borderId="41" xfId="0" applyNumberFormat="1" applyFont="1" applyFill="1" applyBorder="1" applyAlignment="1">
      <alignment horizontal="right" vertical="top" wrapText="1" shrinkToFit="1"/>
    </xf>
    <xf numFmtId="3" fontId="25" fillId="0" borderId="41" xfId="0" applyNumberFormat="1" applyFont="1" applyBorder="1" applyAlignment="1">
      <alignment horizontal="right" vertical="top" shrinkToFit="1"/>
    </xf>
    <xf numFmtId="3" fontId="25" fillId="0" borderId="43" xfId="0" applyNumberFormat="1" applyFont="1" applyBorder="1" applyAlignment="1">
      <alignment horizontal="right" vertical="top" wrapText="1" shrinkToFit="1"/>
    </xf>
    <xf numFmtId="4" fontId="25" fillId="0" borderId="43" xfId="0" applyNumberFormat="1" applyFont="1" applyBorder="1" applyAlignment="1">
      <alignment horizontal="right" vertical="top" wrapText="1" shrinkToFit="1"/>
    </xf>
    <xf numFmtId="3" fontId="25" fillId="0" borderId="41" xfId="0" applyNumberFormat="1" applyFont="1" applyBorder="1" applyAlignment="1">
      <alignment horizontal="right" vertical="top" wrapText="1" shrinkToFit="1"/>
    </xf>
    <xf numFmtId="3" fontId="25" fillId="31" borderId="41" xfId="0" applyNumberFormat="1" applyFont="1" applyFill="1" applyBorder="1" applyAlignment="1">
      <alignment horizontal="right" vertical="top" shrinkToFit="1"/>
    </xf>
    <xf numFmtId="3" fontId="25" fillId="31" borderId="43" xfId="0" applyNumberFormat="1" applyFont="1" applyFill="1" applyBorder="1" applyAlignment="1">
      <alignment horizontal="right" vertical="top" wrapText="1" shrinkToFit="1"/>
    </xf>
    <xf numFmtId="3" fontId="25" fillId="31" borderId="41" xfId="0" applyNumberFormat="1" applyFont="1" applyFill="1" applyBorder="1" applyAlignment="1">
      <alignment horizontal="right" vertical="top" wrapText="1" shrinkToFit="1"/>
    </xf>
    <xf numFmtId="4" fontId="25" fillId="31" borderId="43" xfId="0" applyNumberFormat="1" applyFont="1" applyFill="1" applyBorder="1" applyAlignment="1">
      <alignment horizontal="right" vertical="top" wrapText="1" shrinkToFit="1"/>
    </xf>
    <xf numFmtId="49" fontId="25" fillId="31" borderId="41" xfId="0" applyNumberFormat="1" applyFont="1" applyFill="1" applyBorder="1" applyAlignment="1">
      <alignment horizontal="right" vertical="top" wrapText="1" shrinkToFit="1"/>
    </xf>
    <xf numFmtId="0" fontId="76" fillId="30" borderId="66" xfId="0" applyFont="1" applyFill="1" applyBorder="1" applyAlignment="1">
      <alignment horizontal="right" vertical="center" wrapText="1"/>
    </xf>
    <xf numFmtId="0" fontId="76" fillId="30" borderId="67" xfId="0" applyFont="1" applyFill="1" applyBorder="1" applyAlignment="1">
      <alignment horizontal="right" vertical="center" wrapText="1"/>
    </xf>
    <xf numFmtId="0" fontId="76" fillId="30" borderId="68" xfId="0" applyFont="1" applyFill="1" applyBorder="1" applyAlignment="1">
      <alignment horizontal="right" vertical="center" wrapText="1"/>
    </xf>
    <xf numFmtId="0" fontId="0" fillId="0" borderId="43" xfId="0" applyBorder="1"/>
    <xf numFmtId="3" fontId="11" fillId="0" borderId="59" xfId="0" applyNumberFormat="1" applyFont="1" applyBorder="1" applyAlignment="1">
      <alignment horizontal="right"/>
    </xf>
    <xf numFmtId="3" fontId="11" fillId="0" borderId="64" xfId="0" applyNumberFormat="1" applyFont="1" applyBorder="1" applyAlignment="1">
      <alignment horizontal="right"/>
    </xf>
    <xf numFmtId="3" fontId="11" fillId="0" borderId="46" xfId="0" applyNumberFormat="1" applyFont="1" applyBorder="1" applyAlignment="1">
      <alignment horizontal="right"/>
    </xf>
    <xf numFmtId="1" fontId="0" fillId="0" borderId="41" xfId="0" applyNumberFormat="1" applyBorder="1"/>
    <xf numFmtId="3" fontId="93" fillId="0" borderId="0" xfId="0" applyNumberFormat="1" applyFont="1" applyAlignment="1">
      <alignment horizontal="center"/>
    </xf>
    <xf numFmtId="0" fontId="0" fillId="0" borderId="0" xfId="0" applyAlignment="1">
      <alignment vertical="center"/>
    </xf>
    <xf numFmtId="0" fontId="0" fillId="30" borderId="0" xfId="0" applyFill="1"/>
    <xf numFmtId="0" fontId="62" fillId="30" borderId="0" xfId="0" applyFont="1" applyFill="1"/>
    <xf numFmtId="0" fontId="2" fillId="30" borderId="0" xfId="0" applyFont="1" applyFill="1"/>
    <xf numFmtId="0" fontId="98" fillId="0" borderId="0" xfId="0" applyFont="1"/>
    <xf numFmtId="0" fontId="99" fillId="2" borderId="0" xfId="0" applyFont="1" applyFill="1" applyAlignment="1">
      <alignment horizontal="center"/>
    </xf>
    <xf numFmtId="0" fontId="58" fillId="0" borderId="0" xfId="0" applyFont="1"/>
    <xf numFmtId="0" fontId="60" fillId="0" borderId="5" xfId="0" applyFont="1" applyBorder="1" applyAlignment="1">
      <alignment horizontal="left" vertical="top" wrapText="1"/>
    </xf>
    <xf numFmtId="0" fontId="99" fillId="0" borderId="0" xfId="0" applyFont="1"/>
    <xf numFmtId="0" fontId="108" fillId="0" borderId="0" xfId="0" applyFont="1"/>
    <xf numFmtId="0" fontId="109" fillId="20" borderId="5" xfId="0" applyFont="1" applyFill="1" applyBorder="1" applyAlignment="1">
      <alignment horizontal="left" vertical="top" wrapText="1"/>
    </xf>
    <xf numFmtId="0" fontId="109" fillId="20" borderId="5" xfId="0" applyFont="1" applyFill="1" applyBorder="1" applyAlignment="1">
      <alignment horizontal="right" vertical="top" wrapText="1"/>
    </xf>
    <xf numFmtId="0" fontId="109" fillId="0" borderId="5" xfId="0" applyFont="1" applyBorder="1" applyAlignment="1">
      <alignment horizontal="left" vertical="top" wrapText="1"/>
    </xf>
    <xf numFmtId="165" fontId="109" fillId="0" borderId="5" xfId="0" applyNumberFormat="1" applyFont="1" applyBorder="1" applyAlignment="1">
      <alignment horizontal="right" vertical="top" shrinkToFit="1"/>
    </xf>
    <xf numFmtId="0" fontId="110" fillId="0" borderId="5" xfId="0" applyFont="1" applyBorder="1" applyAlignment="1">
      <alignment horizontal="left" vertical="top" wrapText="1"/>
    </xf>
    <xf numFmtId="168" fontId="110" fillId="0" borderId="5" xfId="2" applyNumberFormat="1" applyFont="1" applyBorder="1" applyAlignment="1">
      <alignment horizontal="right" vertical="top" shrinkToFit="1"/>
    </xf>
    <xf numFmtId="164" fontId="109" fillId="0" borderId="5" xfId="0" applyNumberFormat="1" applyFont="1" applyBorder="1" applyAlignment="1">
      <alignment horizontal="right" vertical="top" shrinkToFit="1"/>
    </xf>
    <xf numFmtId="3" fontId="109" fillId="0" borderId="5" xfId="0" applyNumberFormat="1" applyFont="1" applyBorder="1" applyAlignment="1">
      <alignment horizontal="right" vertical="top" shrinkToFit="1"/>
    </xf>
    <xf numFmtId="168" fontId="109" fillId="0" borderId="0" xfId="2" applyNumberFormat="1" applyFont="1"/>
    <xf numFmtId="0" fontId="111" fillId="0" borderId="0" xfId="0" applyFont="1" applyAlignment="1">
      <alignment horizontal="left" vertical="top"/>
    </xf>
    <xf numFmtId="0" fontId="112" fillId="0" borderId="0" xfId="0" applyFont="1" applyAlignment="1">
      <alignment horizontal="center" vertical="top" wrapText="1"/>
    </xf>
    <xf numFmtId="0" fontId="109" fillId="20" borderId="6" xfId="0" applyFont="1" applyFill="1" applyBorder="1" applyAlignment="1">
      <alignment horizontal="left" vertical="top" wrapText="1"/>
    </xf>
    <xf numFmtId="0" fontId="109" fillId="20" borderId="7" xfId="0" applyFont="1" applyFill="1" applyBorder="1" applyAlignment="1">
      <alignment horizontal="left" vertical="top" wrapText="1"/>
    </xf>
    <xf numFmtId="166" fontId="109" fillId="0" borderId="5" xfId="0" applyNumberFormat="1" applyFont="1" applyBorder="1" applyAlignment="1">
      <alignment horizontal="right" vertical="top" shrinkToFit="1"/>
    </xf>
    <xf numFmtId="169" fontId="109" fillId="0" borderId="5" xfId="0" applyNumberFormat="1" applyFont="1" applyBorder="1" applyAlignment="1">
      <alignment horizontal="right" vertical="top" shrinkToFit="1"/>
    </xf>
    <xf numFmtId="168" fontId="99" fillId="0" borderId="0" xfId="2" applyNumberFormat="1" applyFont="1"/>
    <xf numFmtId="0" fontId="110" fillId="0" borderId="0" xfId="0" applyFont="1"/>
    <xf numFmtId="0" fontId="109" fillId="0" borderId="0" xfId="0" applyFont="1"/>
    <xf numFmtId="0" fontId="110" fillId="20" borderId="5" xfId="0" applyFont="1" applyFill="1" applyBorder="1" applyAlignment="1">
      <alignment horizontal="right"/>
    </xf>
    <xf numFmtId="0" fontId="109" fillId="20" borderId="5" xfId="0" applyFont="1" applyFill="1" applyBorder="1"/>
    <xf numFmtId="0" fontId="109" fillId="2" borderId="5" xfId="0" applyFont="1" applyFill="1" applyBorder="1" applyAlignment="1">
      <alignment horizontal="left"/>
    </xf>
    <xf numFmtId="164" fontId="109" fillId="7" borderId="5" xfId="0" applyNumberFormat="1" applyFont="1" applyFill="1" applyBorder="1"/>
    <xf numFmtId="2" fontId="109" fillId="0" borderId="5" xfId="0" applyNumberFormat="1" applyFont="1" applyBorder="1"/>
    <xf numFmtId="164" fontId="109" fillId="7" borderId="5" xfId="0" applyNumberFormat="1" applyFont="1" applyFill="1" applyBorder="1" applyAlignment="1">
      <alignment horizontal="right" vertical="top" wrapText="1"/>
    </xf>
    <xf numFmtId="164" fontId="109" fillId="0" borderId="5" xfId="0" applyNumberFormat="1" applyFont="1" applyBorder="1"/>
    <xf numFmtId="164" fontId="109" fillId="6" borderId="5" xfId="0" applyNumberFormat="1" applyFont="1" applyFill="1" applyBorder="1"/>
    <xf numFmtId="0" fontId="111" fillId="0" borderId="0" xfId="0" applyFont="1" applyAlignment="1">
      <alignment horizontal="left"/>
    </xf>
    <xf numFmtId="0" fontId="109" fillId="23" borderId="0" xfId="0" applyFont="1" applyFill="1" applyAlignment="1">
      <alignment horizontal="left" vertical="top" wrapText="1" indent="1"/>
    </xf>
    <xf numFmtId="0" fontId="109" fillId="23" borderId="17" xfId="0" applyFont="1" applyFill="1" applyBorder="1" applyAlignment="1">
      <alignment horizontal="left" vertical="top" wrapText="1" indent="1"/>
    </xf>
    <xf numFmtId="0" fontId="109" fillId="6" borderId="17" xfId="0" applyFont="1" applyFill="1" applyBorder="1" applyAlignment="1">
      <alignment horizontal="center" vertical="top" wrapText="1"/>
    </xf>
    <xf numFmtId="0" fontId="109" fillId="23" borderId="17" xfId="0" applyFont="1" applyFill="1" applyBorder="1" applyAlignment="1">
      <alignment horizontal="center" vertical="top" wrapText="1"/>
    </xf>
    <xf numFmtId="0" fontId="109" fillId="0" borderId="0" xfId="0" applyFont="1" applyAlignment="1">
      <alignment horizontal="left" vertical="top" wrapText="1" indent="1"/>
    </xf>
    <xf numFmtId="1" fontId="109" fillId="0" borderId="0" xfId="0" applyNumberFormat="1" applyFont="1" applyAlignment="1">
      <alignment horizontal="center" vertical="top" shrinkToFit="1"/>
    </xf>
    <xf numFmtId="3" fontId="109" fillId="0" borderId="0" xfId="0" applyNumberFormat="1" applyFont="1" applyAlignment="1">
      <alignment horizontal="center" vertical="top" wrapText="1"/>
    </xf>
    <xf numFmtId="9" fontId="109" fillId="0" borderId="0" xfId="2" applyFont="1" applyAlignment="1">
      <alignment horizontal="center" vertical="top" wrapText="1"/>
    </xf>
    <xf numFmtId="168" fontId="109" fillId="0" borderId="0" xfId="2" applyNumberFormat="1" applyFont="1" applyAlignment="1">
      <alignment horizontal="center" vertical="top" wrapText="1"/>
    </xf>
    <xf numFmtId="1" fontId="109" fillId="6" borderId="0" xfId="0" applyNumberFormat="1" applyFont="1" applyFill="1" applyAlignment="1">
      <alignment horizontal="center" vertical="top" shrinkToFit="1"/>
    </xf>
    <xf numFmtId="3" fontId="109" fillId="6" borderId="0" xfId="0" applyNumberFormat="1" applyFont="1" applyFill="1" applyAlignment="1">
      <alignment horizontal="center" vertical="top" wrapText="1"/>
    </xf>
    <xf numFmtId="9" fontId="109" fillId="6" borderId="0" xfId="2" applyFont="1" applyFill="1" applyAlignment="1">
      <alignment horizontal="center" vertical="top" wrapText="1"/>
    </xf>
    <xf numFmtId="168" fontId="109" fillId="23" borderId="0" xfId="2" applyNumberFormat="1" applyFont="1" applyFill="1" applyAlignment="1">
      <alignment horizontal="center" vertical="top" wrapText="1"/>
    </xf>
    <xf numFmtId="0" fontId="109" fillId="0" borderId="18" xfId="0" applyFont="1" applyBorder="1" applyAlignment="1">
      <alignment horizontal="left" wrapText="1"/>
    </xf>
    <xf numFmtId="3" fontId="109" fillId="0" borderId="18" xfId="0" applyNumberFormat="1" applyFont="1" applyBorder="1" applyAlignment="1">
      <alignment horizontal="center" vertical="top" wrapText="1"/>
    </xf>
    <xf numFmtId="9" fontId="109" fillId="0" borderId="18" xfId="2" applyFont="1" applyBorder="1" applyAlignment="1">
      <alignment horizontal="center" vertical="top" wrapText="1"/>
    </xf>
    <xf numFmtId="168" fontId="109" fillId="0" borderId="18" xfId="2" applyNumberFormat="1" applyFont="1" applyBorder="1" applyAlignment="1">
      <alignment horizontal="center" vertical="top" wrapText="1"/>
    </xf>
    <xf numFmtId="0" fontId="111" fillId="0" borderId="0" xfId="0" applyFont="1"/>
    <xf numFmtId="0" fontId="99" fillId="6" borderId="26" xfId="0" applyFont="1" applyFill="1" applyBorder="1"/>
    <xf numFmtId="0" fontId="99" fillId="6" borderId="26" xfId="0" applyFont="1" applyFill="1" applyBorder="1" applyAlignment="1">
      <alignment horizontal="center"/>
    </xf>
    <xf numFmtId="2" fontId="109" fillId="0" borderId="0" xfId="0" applyNumberFormat="1" applyFont="1" applyAlignment="1">
      <alignment horizontal="center"/>
    </xf>
    <xf numFmtId="0" fontId="109" fillId="0" borderId="0" xfId="0" applyFont="1" applyAlignment="1">
      <alignment horizontal="center"/>
    </xf>
    <xf numFmtId="9" fontId="109" fillId="0" borderId="0" xfId="0" applyNumberFormat="1" applyFont="1" applyAlignment="1">
      <alignment horizontal="center"/>
    </xf>
    <xf numFmtId="0" fontId="109" fillId="0" borderId="26" xfId="0" applyFont="1" applyBorder="1"/>
    <xf numFmtId="3" fontId="109" fillId="0" borderId="26" xfId="0" applyNumberFormat="1" applyFont="1" applyBorder="1" applyAlignment="1">
      <alignment horizontal="center"/>
    </xf>
    <xf numFmtId="0" fontId="114" fillId="0" borderId="0" xfId="1" applyFont="1"/>
    <xf numFmtId="0" fontId="109" fillId="6" borderId="27" xfId="0" applyFont="1" applyFill="1" applyBorder="1" applyAlignment="1">
      <alignment horizontal="left" wrapText="1"/>
    </xf>
    <xf numFmtId="0" fontId="109" fillId="6" borderId="27" xfId="0" applyFont="1" applyFill="1" applyBorder="1" applyAlignment="1">
      <alignment horizontal="right" wrapText="1"/>
    </xf>
    <xf numFmtId="0" fontId="109" fillId="0" borderId="29" xfId="0" applyFont="1" applyBorder="1" applyAlignment="1">
      <alignment horizontal="left" vertical="top" wrapText="1"/>
    </xf>
    <xf numFmtId="0" fontId="109" fillId="0" borderId="29" xfId="0" applyFont="1" applyBorder="1" applyAlignment="1">
      <alignment horizontal="right" vertical="top" wrapText="1"/>
    </xf>
    <xf numFmtId="0" fontId="109" fillId="0" borderId="30" xfId="0" applyFont="1" applyBorder="1" applyAlignment="1">
      <alignment horizontal="left" vertical="top" wrapText="1"/>
    </xf>
    <xf numFmtId="0" fontId="109" fillId="0" borderId="30" xfId="0" applyFont="1" applyBorder="1" applyAlignment="1">
      <alignment horizontal="right" vertical="center" wrapText="1"/>
    </xf>
    <xf numFmtId="0" fontId="109" fillId="0" borderId="31" xfId="0" applyFont="1" applyBorder="1" applyAlignment="1">
      <alignment horizontal="left" vertical="top" wrapText="1"/>
    </xf>
    <xf numFmtId="0" fontId="109" fillId="0" borderId="31" xfId="0" applyFont="1" applyBorder="1" applyAlignment="1">
      <alignment horizontal="right" vertical="center" wrapText="1"/>
    </xf>
    <xf numFmtId="0" fontId="109" fillId="0" borderId="28" xfId="0" applyFont="1" applyBorder="1" applyAlignment="1">
      <alignment horizontal="left" vertical="top" wrapText="1"/>
    </xf>
    <xf numFmtId="0" fontId="109" fillId="0" borderId="28" xfId="0" applyFont="1" applyBorder="1" applyAlignment="1">
      <alignment horizontal="right" vertical="center" wrapText="1"/>
    </xf>
    <xf numFmtId="0" fontId="109" fillId="0" borderId="0" xfId="0" applyFont="1" applyAlignment="1">
      <alignment horizontal="left" vertical="top" wrapText="1"/>
    </xf>
    <xf numFmtId="3" fontId="109" fillId="0" borderId="28" xfId="0" applyNumberFormat="1" applyFont="1" applyBorder="1" applyAlignment="1">
      <alignment horizontal="right" vertical="center" wrapText="1"/>
    </xf>
    <xf numFmtId="3" fontId="109" fillId="6" borderId="28" xfId="0" applyNumberFormat="1" applyFont="1" applyFill="1" applyBorder="1" applyAlignment="1">
      <alignment horizontal="right" vertical="center" wrapText="1"/>
    </xf>
    <xf numFmtId="0" fontId="109" fillId="0" borderId="0" xfId="0" applyFont="1" applyAlignment="1">
      <alignment horizontal="right" vertical="center" wrapText="1"/>
    </xf>
    <xf numFmtId="3" fontId="109" fillId="0" borderId="30" xfId="0" applyNumberFormat="1" applyFont="1" applyBorder="1" applyAlignment="1">
      <alignment vertical="center" wrapText="1"/>
    </xf>
    <xf numFmtId="3" fontId="109" fillId="0" borderId="31" xfId="0" applyNumberFormat="1" applyFont="1" applyBorder="1" applyAlignment="1">
      <alignment vertical="center" wrapText="1"/>
    </xf>
    <xf numFmtId="3" fontId="109" fillId="0" borderId="28" xfId="0" applyNumberFormat="1" applyFont="1" applyBorder="1" applyAlignment="1">
      <alignment vertical="center" wrapText="1"/>
    </xf>
    <xf numFmtId="0" fontId="27" fillId="0" borderId="41" xfId="0" applyFont="1" applyBorder="1" applyAlignment="1">
      <alignment horizontal="left" vertical="top"/>
    </xf>
    <xf numFmtId="3" fontId="27" fillId="0" borderId="42" xfId="0" applyNumberFormat="1" applyFont="1" applyBorder="1" applyAlignment="1">
      <alignment horizontal="right" vertical="top" shrinkToFit="1"/>
    </xf>
    <xf numFmtId="3" fontId="27" fillId="0" borderId="43" xfId="0" applyNumberFormat="1" applyFont="1" applyBorder="1" applyAlignment="1">
      <alignment horizontal="right" vertical="top" shrinkToFit="1"/>
    </xf>
    <xf numFmtId="0" fontId="27" fillId="31" borderId="41" xfId="0" applyFont="1" applyFill="1" applyBorder="1" applyAlignment="1">
      <alignment horizontal="left" vertical="top"/>
    </xf>
    <xf numFmtId="3" fontId="27" fillId="31" borderId="42" xfId="0" applyNumberFormat="1" applyFont="1" applyFill="1" applyBorder="1" applyAlignment="1">
      <alignment horizontal="right" vertical="top" shrinkToFit="1"/>
    </xf>
    <xf numFmtId="3" fontId="27" fillId="31" borderId="43" xfId="0" applyNumberFormat="1" applyFont="1" applyFill="1" applyBorder="1" applyAlignment="1">
      <alignment horizontal="right" vertical="top" shrinkToFit="1"/>
    </xf>
    <xf numFmtId="168" fontId="27" fillId="22" borderId="42" xfId="2" applyNumberFormat="1" applyFont="1" applyFill="1" applyBorder="1" applyAlignment="1">
      <alignment horizontal="right" vertical="top" shrinkToFit="1"/>
    </xf>
    <xf numFmtId="168" fontId="27" fillId="0" borderId="42" xfId="2" applyNumberFormat="1" applyFont="1" applyBorder="1" applyAlignment="1">
      <alignment horizontal="right" vertical="top" shrinkToFit="1"/>
    </xf>
    <xf numFmtId="168" fontId="27" fillId="26" borderId="43" xfId="2" applyNumberFormat="1" applyFont="1" applyFill="1" applyBorder="1" applyAlignment="1">
      <alignment horizontal="right" vertical="top" shrinkToFit="1"/>
    </xf>
    <xf numFmtId="168" fontId="27" fillId="26" borderId="42" xfId="2" applyNumberFormat="1" applyFont="1" applyFill="1" applyBorder="1" applyAlignment="1">
      <alignment horizontal="right" vertical="top" shrinkToFit="1"/>
    </xf>
    <xf numFmtId="168" fontId="27" fillId="31" borderId="42" xfId="2" applyNumberFormat="1" applyFont="1" applyFill="1" applyBorder="1" applyAlignment="1">
      <alignment horizontal="right" vertical="top" shrinkToFit="1"/>
    </xf>
    <xf numFmtId="0" fontId="97" fillId="30" borderId="41" xfId="0" applyFont="1" applyFill="1" applyBorder="1" applyAlignment="1">
      <alignment horizontal="left" vertical="top" wrapText="1"/>
    </xf>
    <xf numFmtId="0" fontId="76" fillId="30" borderId="42" xfId="0" applyFont="1" applyFill="1" applyBorder="1" applyAlignment="1">
      <alignment horizontal="right" vertical="top" wrapText="1"/>
    </xf>
    <xf numFmtId="0" fontId="76" fillId="30" borderId="43" xfId="0" applyFont="1" applyFill="1" applyBorder="1" applyAlignment="1">
      <alignment horizontal="right" vertical="top" wrapText="1"/>
    </xf>
    <xf numFmtId="0" fontId="76" fillId="30" borderId="69" xfId="0" applyFont="1" applyFill="1" applyBorder="1" applyAlignment="1">
      <alignment horizontal="right" vertical="top" wrapText="1"/>
    </xf>
    <xf numFmtId="0" fontId="76" fillId="30" borderId="70" xfId="0" applyFont="1" applyFill="1" applyBorder="1" applyAlignment="1">
      <alignment horizontal="right" vertical="top" wrapText="1"/>
    </xf>
    <xf numFmtId="166" fontId="27" fillId="0" borderId="42" xfId="0" applyNumberFormat="1" applyFont="1" applyBorder="1" applyAlignment="1">
      <alignment horizontal="right" vertical="top" shrinkToFit="1"/>
    </xf>
    <xf numFmtId="166" fontId="27" fillId="0" borderId="43" xfId="0" applyNumberFormat="1" applyFont="1" applyBorder="1" applyAlignment="1">
      <alignment horizontal="right" vertical="top" shrinkToFit="1"/>
    </xf>
    <xf numFmtId="166" fontId="27" fillId="31" borderId="42" xfId="0" applyNumberFormat="1" applyFont="1" applyFill="1" applyBorder="1" applyAlignment="1">
      <alignment horizontal="right" vertical="top" shrinkToFit="1"/>
    </xf>
    <xf numFmtId="166" fontId="27" fillId="31" borderId="43" xfId="0" applyNumberFormat="1" applyFont="1" applyFill="1" applyBorder="1" applyAlignment="1">
      <alignment horizontal="right" vertical="top" shrinkToFit="1"/>
    </xf>
    <xf numFmtId="0" fontId="26" fillId="31" borderId="41" xfId="0" applyFont="1" applyFill="1" applyBorder="1" applyAlignment="1">
      <alignment horizontal="left" vertical="top"/>
    </xf>
    <xf numFmtId="168" fontId="68" fillId="26" borderId="42" xfId="2" applyNumberFormat="1" applyFont="1" applyFill="1" applyBorder="1" applyAlignment="1">
      <alignment horizontal="center"/>
    </xf>
    <xf numFmtId="0" fontId="76" fillId="30" borderId="41" xfId="0" applyFont="1" applyFill="1" applyBorder="1" applyAlignment="1">
      <alignment horizontal="right" vertical="top" wrapText="1"/>
    </xf>
    <xf numFmtId="168" fontId="68" fillId="7" borderId="42" xfId="2" applyNumberFormat="1" applyFont="1" applyFill="1" applyBorder="1" applyAlignment="1">
      <alignment horizontal="center"/>
    </xf>
    <xf numFmtId="0" fontId="0" fillId="31" borderId="0" xfId="0" applyFill="1"/>
    <xf numFmtId="166" fontId="27" fillId="0" borderId="41" xfId="0" applyNumberFormat="1" applyFont="1" applyBorder="1" applyAlignment="1">
      <alignment horizontal="left" vertical="top" shrinkToFit="1"/>
    </xf>
    <xf numFmtId="166" fontId="27" fillId="0" borderId="42" xfId="0" applyNumberFormat="1" applyFont="1" applyBorder="1" applyAlignment="1">
      <alignment horizontal="left" vertical="top" shrinkToFit="1"/>
    </xf>
    <xf numFmtId="166" fontId="27" fillId="6" borderId="42" xfId="0" applyNumberFormat="1" applyFont="1" applyFill="1" applyBorder="1" applyAlignment="1">
      <alignment horizontal="right" vertical="top" shrinkToFit="1"/>
    </xf>
    <xf numFmtId="168" fontId="68" fillId="26" borderId="43" xfId="2" applyNumberFormat="1" applyFont="1" applyFill="1" applyBorder="1" applyAlignment="1">
      <alignment horizontal="center"/>
    </xf>
    <xf numFmtId="166" fontId="26" fillId="0" borderId="42" xfId="0" applyNumberFormat="1" applyFont="1" applyBorder="1" applyAlignment="1">
      <alignment horizontal="right" vertical="top" shrinkToFit="1"/>
    </xf>
    <xf numFmtId="166" fontId="26" fillId="6" borderId="71" xfId="0" applyNumberFormat="1" applyFont="1" applyFill="1" applyBorder="1" applyAlignment="1">
      <alignment horizontal="right" vertical="top" shrinkToFit="1"/>
    </xf>
    <xf numFmtId="166" fontId="27" fillId="31" borderId="41" xfId="0" applyNumberFormat="1" applyFont="1" applyFill="1" applyBorder="1" applyAlignment="1">
      <alignment horizontal="left" vertical="top" shrinkToFit="1"/>
    </xf>
    <xf numFmtId="166" fontId="27" fillId="31" borderId="42" xfId="0" applyNumberFormat="1" applyFont="1" applyFill="1" applyBorder="1" applyAlignment="1">
      <alignment horizontal="left" vertical="top" shrinkToFit="1"/>
    </xf>
    <xf numFmtId="166" fontId="26" fillId="31" borderId="41" xfId="0" applyNumberFormat="1" applyFont="1" applyFill="1" applyBorder="1" applyAlignment="1">
      <alignment horizontal="left" vertical="top" shrinkToFit="1"/>
    </xf>
    <xf numFmtId="166" fontId="26" fillId="31" borderId="42" xfId="0" applyNumberFormat="1" applyFont="1" applyFill="1" applyBorder="1" applyAlignment="1">
      <alignment horizontal="left" vertical="top" shrinkToFit="1"/>
    </xf>
    <xf numFmtId="166" fontId="26" fillId="31" borderId="42" xfId="0" applyNumberFormat="1" applyFont="1" applyFill="1" applyBorder="1" applyAlignment="1">
      <alignment horizontal="right" vertical="top" shrinkToFit="1"/>
    </xf>
    <xf numFmtId="0" fontId="6" fillId="0" borderId="0" xfId="0" applyFont="1"/>
    <xf numFmtId="0" fontId="115" fillId="0" borderId="0" xfId="0" applyFont="1"/>
    <xf numFmtId="0" fontId="107" fillId="20" borderId="5" xfId="0" applyFont="1" applyFill="1" applyBorder="1" applyAlignment="1">
      <alignment horizontal="left" vertical="top" wrapText="1"/>
    </xf>
    <xf numFmtId="0" fontId="107" fillId="20" borderId="5" xfId="0" applyFont="1" applyFill="1" applyBorder="1" applyAlignment="1">
      <alignment horizontal="right" vertical="top" wrapText="1"/>
    </xf>
    <xf numFmtId="0" fontId="107" fillId="0" borderId="5" xfId="0" applyFont="1" applyBorder="1" applyAlignment="1">
      <alignment horizontal="left" vertical="top" wrapText="1"/>
    </xf>
    <xf numFmtId="166" fontId="107" fillId="0" borderId="5" xfId="0" applyNumberFormat="1" applyFont="1" applyBorder="1" applyAlignment="1">
      <alignment horizontal="right" vertical="top" shrinkToFit="1"/>
    </xf>
    <xf numFmtId="3" fontId="107" fillId="0" borderId="5" xfId="0" applyNumberFormat="1" applyFont="1" applyBorder="1" applyAlignment="1">
      <alignment horizontal="right" vertical="top" shrinkToFit="1"/>
    </xf>
    <xf numFmtId="0" fontId="116" fillId="0" borderId="0" xfId="0" applyFont="1" applyAlignment="1">
      <alignment horizontal="left" vertical="top"/>
    </xf>
    <xf numFmtId="0" fontId="119" fillId="0" borderId="0" xfId="0" applyFont="1"/>
    <xf numFmtId="165" fontId="107" fillId="0" borderId="5" xfId="0" applyNumberFormat="1" applyFont="1" applyBorder="1" applyAlignment="1">
      <alignment horizontal="center" vertical="top" shrinkToFit="1"/>
    </xf>
    <xf numFmtId="0" fontId="102" fillId="20" borderId="5" xfId="0" applyFont="1" applyFill="1" applyBorder="1" applyAlignment="1">
      <alignment horizontal="right" vertical="top" wrapText="1"/>
    </xf>
    <xf numFmtId="0" fontId="60" fillId="20" borderId="5" xfId="0" applyFont="1" applyFill="1" applyBorder="1" applyAlignment="1">
      <alignment horizontal="left" vertical="top" wrapText="1"/>
    </xf>
    <xf numFmtId="0" fontId="120" fillId="0" borderId="14" xfId="1" applyFont="1" applyFill="1" applyBorder="1" applyAlignment="1">
      <alignment horizontal="left" vertical="top"/>
    </xf>
    <xf numFmtId="0" fontId="76" fillId="30" borderId="41" xfId="0" applyFont="1" applyFill="1" applyBorder="1" applyAlignment="1">
      <alignment horizontal="left" vertical="center" wrapText="1"/>
    </xf>
    <xf numFmtId="0" fontId="76" fillId="30" borderId="43" xfId="0" applyFont="1" applyFill="1" applyBorder="1" applyAlignment="1">
      <alignment horizontal="right" vertical="center" wrapText="1"/>
    </xf>
    <xf numFmtId="0" fontId="27" fillId="0" borderId="41" xfId="0" applyFont="1" applyBorder="1" applyAlignment="1">
      <alignment horizontal="left" vertical="top" wrapText="1"/>
    </xf>
    <xf numFmtId="168" fontId="27" fillId="6" borderId="42" xfId="2" applyNumberFormat="1" applyFont="1" applyFill="1" applyBorder="1" applyAlignment="1">
      <alignment horizontal="right" vertical="top" shrinkToFit="1"/>
    </xf>
    <xf numFmtId="168" fontId="27" fillId="0" borderId="43" xfId="2" applyNumberFormat="1" applyFont="1" applyBorder="1" applyAlignment="1">
      <alignment horizontal="right" vertical="top" shrinkToFit="1"/>
    </xf>
    <xf numFmtId="0" fontId="26" fillId="7" borderId="41" xfId="0" applyFont="1" applyFill="1" applyBorder="1" applyAlignment="1">
      <alignment horizontal="left" vertical="top" wrapText="1"/>
    </xf>
    <xf numFmtId="168" fontId="26" fillId="7" borderId="42" xfId="2" applyNumberFormat="1" applyFont="1" applyFill="1" applyBorder="1" applyAlignment="1">
      <alignment horizontal="right" vertical="top" shrinkToFit="1"/>
    </xf>
    <xf numFmtId="168" fontId="26" fillId="7" borderId="43" xfId="2" applyNumberFormat="1" applyFont="1" applyFill="1" applyBorder="1" applyAlignment="1">
      <alignment horizontal="right" vertical="top" shrinkToFit="1"/>
    </xf>
    <xf numFmtId="0" fontId="27" fillId="31" borderId="41" xfId="0" applyFont="1" applyFill="1" applyBorder="1" applyAlignment="1">
      <alignment horizontal="left" vertical="top" wrapText="1"/>
    </xf>
    <xf numFmtId="168" fontId="27" fillId="31" borderId="43" xfId="2" applyNumberFormat="1" applyFont="1" applyFill="1" applyBorder="1" applyAlignment="1">
      <alignment horizontal="right" vertical="top" shrinkToFit="1"/>
    </xf>
    <xf numFmtId="0" fontId="76" fillId="30" borderId="41" xfId="0" applyFont="1" applyFill="1" applyBorder="1" applyAlignment="1">
      <alignment horizontal="right" vertical="center" wrapText="1"/>
    </xf>
    <xf numFmtId="166" fontId="27" fillId="0" borderId="41" xfId="0" applyNumberFormat="1" applyFont="1" applyBorder="1" applyAlignment="1">
      <alignment horizontal="right" vertical="top" shrinkToFit="1"/>
    </xf>
    <xf numFmtId="166" fontId="27" fillId="29" borderId="41" xfId="0" applyNumberFormat="1" applyFont="1" applyFill="1" applyBorder="1" applyAlignment="1">
      <alignment horizontal="right" vertical="top" shrinkToFit="1"/>
    </xf>
    <xf numFmtId="1" fontId="26" fillId="7" borderId="41" xfId="0" applyNumberFormat="1" applyFont="1" applyFill="1" applyBorder="1" applyAlignment="1">
      <alignment vertical="top" wrapText="1"/>
    </xf>
    <xf numFmtId="1" fontId="26" fillId="7" borderId="43" xfId="0" applyNumberFormat="1" applyFont="1" applyFill="1" applyBorder="1" applyAlignment="1">
      <alignment vertical="top" wrapText="1"/>
    </xf>
    <xf numFmtId="166" fontId="27" fillId="31" borderId="41" xfId="0" applyNumberFormat="1" applyFont="1" applyFill="1" applyBorder="1" applyAlignment="1">
      <alignment horizontal="right" vertical="top" shrinkToFit="1"/>
    </xf>
    <xf numFmtId="0" fontId="26" fillId="0" borderId="41" xfId="0" applyFont="1" applyBorder="1" applyAlignment="1">
      <alignment horizontal="left" vertical="top" wrapText="1"/>
    </xf>
    <xf numFmtId="3" fontId="27" fillId="7" borderId="42" xfId="0" applyNumberFormat="1" applyFont="1" applyFill="1" applyBorder="1" applyAlignment="1">
      <alignment horizontal="right" vertical="top" shrinkToFit="1"/>
    </xf>
    <xf numFmtId="3" fontId="27" fillId="7" borderId="43" xfId="0" applyNumberFormat="1" applyFont="1" applyFill="1" applyBorder="1" applyAlignment="1">
      <alignment horizontal="right" vertical="top" shrinkToFit="1"/>
    </xf>
    <xf numFmtId="0" fontId="69" fillId="0" borderId="0" xfId="0" applyFont="1" applyAlignment="1">
      <alignment horizontal="left" wrapText="1"/>
    </xf>
    <xf numFmtId="0" fontId="1" fillId="31" borderId="0" xfId="0" applyFont="1" applyFill="1" applyAlignment="1">
      <alignment vertical="center"/>
    </xf>
    <xf numFmtId="0" fontId="1" fillId="30" borderId="0" xfId="0" applyFont="1" applyFill="1" applyAlignment="1">
      <alignment vertical="center"/>
    </xf>
    <xf numFmtId="0" fontId="61" fillId="30" borderId="0" xfId="0" applyFont="1" applyFill="1" applyAlignment="1">
      <alignment vertical="center"/>
    </xf>
    <xf numFmtId="0" fontId="61" fillId="32" borderId="0" xfId="0" applyFont="1" applyFill="1"/>
    <xf numFmtId="0" fontId="76" fillId="32" borderId="0" xfId="0" applyFont="1" applyFill="1"/>
    <xf numFmtId="0" fontId="76" fillId="32" borderId="0" xfId="0" applyFont="1" applyFill="1" applyAlignment="1">
      <alignment horizontal="right"/>
    </xf>
    <xf numFmtId="0" fontId="12" fillId="33" borderId="0" xfId="0" applyFont="1" applyFill="1" applyAlignment="1">
      <alignment horizontal="left"/>
    </xf>
    <xf numFmtId="3" fontId="12" fillId="33" borderId="0" xfId="0" applyNumberFormat="1" applyFont="1" applyFill="1" applyAlignment="1">
      <alignment horizontal="right"/>
    </xf>
    <xf numFmtId="0" fontId="61" fillId="32" borderId="43" xfId="0" applyFont="1" applyFill="1" applyBorder="1" applyAlignment="1">
      <alignment horizontal="right"/>
    </xf>
    <xf numFmtId="166" fontId="12" fillId="33" borderId="43" xfId="0" applyNumberFormat="1" applyFont="1" applyFill="1" applyBorder="1" applyAlignment="1">
      <alignment horizontal="right"/>
    </xf>
    <xf numFmtId="166" fontId="12" fillId="0" borderId="43" xfId="0" applyNumberFormat="1" applyFont="1" applyBorder="1" applyAlignment="1">
      <alignment horizontal="right"/>
    </xf>
    <xf numFmtId="4" fontId="12" fillId="33" borderId="43" xfId="0" applyNumberFormat="1" applyFont="1" applyFill="1" applyBorder="1" applyAlignment="1">
      <alignment horizontal="right"/>
    </xf>
    <xf numFmtId="4" fontId="12" fillId="0" borderId="43" xfId="0" applyNumberFormat="1" applyFont="1" applyBorder="1" applyAlignment="1">
      <alignment horizontal="right"/>
    </xf>
    <xf numFmtId="3" fontId="12" fillId="33" borderId="43" xfId="0" applyNumberFormat="1" applyFont="1" applyFill="1" applyBorder="1" applyAlignment="1">
      <alignment horizontal="right"/>
    </xf>
    <xf numFmtId="0" fontId="12" fillId="0" borderId="41" xfId="0" applyFont="1" applyBorder="1" applyAlignment="1">
      <alignment horizontal="left"/>
    </xf>
    <xf numFmtId="0" fontId="12" fillId="33" borderId="41" xfId="0" applyFont="1" applyFill="1" applyBorder="1" applyAlignment="1">
      <alignment horizontal="left"/>
    </xf>
    <xf numFmtId="0" fontId="76" fillId="30" borderId="0" xfId="0" applyFont="1" applyFill="1" applyAlignment="1">
      <alignment vertical="center"/>
    </xf>
    <xf numFmtId="0" fontId="8" fillId="0" borderId="42" xfId="0" quotePrefix="1" applyFont="1" applyBorder="1" applyAlignment="1">
      <alignment horizontal="left"/>
    </xf>
    <xf numFmtId="3" fontId="8" fillId="0" borderId="42" xfId="0" applyNumberFormat="1" applyFont="1" applyBorder="1" applyAlignment="1">
      <alignment horizontal="right"/>
    </xf>
    <xf numFmtId="3" fontId="8" fillId="0" borderId="43" xfId="0" applyNumberFormat="1" applyFont="1" applyBorder="1" applyAlignment="1">
      <alignment horizontal="right"/>
    </xf>
    <xf numFmtId="166" fontId="8" fillId="0" borderId="42" xfId="0" applyNumberFormat="1" applyFont="1" applyBorder="1" applyAlignment="1">
      <alignment horizontal="right"/>
    </xf>
    <xf numFmtId="0" fontId="11" fillId="0" borderId="41" xfId="0" applyFont="1" applyBorder="1" applyAlignment="1">
      <alignment horizontal="left"/>
    </xf>
    <xf numFmtId="0" fontId="12" fillId="0" borderId="42" xfId="0" applyFont="1" applyBorder="1" applyAlignment="1">
      <alignment horizontal="left"/>
    </xf>
    <xf numFmtId="4" fontId="12" fillId="0" borderId="42" xfId="0" applyNumberFormat="1" applyFont="1" applyBorder="1" applyAlignment="1">
      <alignment horizontal="right"/>
    </xf>
    <xf numFmtId="0" fontId="11" fillId="0" borderId="42" xfId="0" applyFont="1" applyBorder="1" applyAlignment="1">
      <alignment horizontal="left"/>
    </xf>
    <xf numFmtId="3" fontId="12" fillId="0" borderId="42" xfId="0" applyNumberFormat="1" applyFont="1" applyBorder="1" applyAlignment="1">
      <alignment horizontal="right"/>
    </xf>
    <xf numFmtId="3" fontId="11" fillId="0" borderId="42" xfId="0" applyNumberFormat="1" applyFont="1" applyBorder="1" applyAlignment="1">
      <alignment horizontal="right"/>
    </xf>
    <xf numFmtId="0" fontId="12" fillId="31" borderId="41" xfId="0" applyFont="1" applyFill="1" applyBorder="1" applyAlignment="1">
      <alignment horizontal="left"/>
    </xf>
    <xf numFmtId="0" fontId="8" fillId="31" borderId="42" xfId="0" quotePrefix="1" applyFont="1" applyFill="1" applyBorder="1" applyAlignment="1">
      <alignment horizontal="left"/>
    </xf>
    <xf numFmtId="3" fontId="8" fillId="31" borderId="42" xfId="0" applyNumberFormat="1" applyFont="1" applyFill="1" applyBorder="1" applyAlignment="1">
      <alignment horizontal="right"/>
    </xf>
    <xf numFmtId="3" fontId="8" fillId="31" borderId="43" xfId="0" applyNumberFormat="1" applyFont="1" applyFill="1" applyBorder="1" applyAlignment="1">
      <alignment horizontal="right"/>
    </xf>
    <xf numFmtId="166" fontId="8" fillId="31" borderId="42" xfId="0" applyNumberFormat="1" applyFont="1" applyFill="1" applyBorder="1" applyAlignment="1">
      <alignment horizontal="right"/>
    </xf>
    <xf numFmtId="0" fontId="11" fillId="31" borderId="41" xfId="0" applyFont="1" applyFill="1" applyBorder="1" applyAlignment="1">
      <alignment horizontal="left"/>
    </xf>
    <xf numFmtId="0" fontId="12" fillId="31" borderId="42" xfId="0" applyFont="1" applyFill="1" applyBorder="1" applyAlignment="1">
      <alignment horizontal="left"/>
    </xf>
    <xf numFmtId="4" fontId="12" fillId="31" borderId="42" xfId="0" applyNumberFormat="1" applyFont="1" applyFill="1" applyBorder="1" applyAlignment="1">
      <alignment horizontal="right"/>
    </xf>
    <xf numFmtId="4" fontId="12" fillId="31" borderId="43" xfId="0" applyNumberFormat="1" applyFont="1" applyFill="1" applyBorder="1" applyAlignment="1">
      <alignment horizontal="right"/>
    </xf>
    <xf numFmtId="0" fontId="11" fillId="31" borderId="42" xfId="0" applyFont="1" applyFill="1" applyBorder="1" applyAlignment="1">
      <alignment horizontal="left"/>
    </xf>
    <xf numFmtId="4" fontId="11" fillId="31" borderId="42" xfId="0" applyNumberFormat="1" applyFont="1" applyFill="1" applyBorder="1" applyAlignment="1">
      <alignment horizontal="right"/>
    </xf>
    <xf numFmtId="4" fontId="11" fillId="31" borderId="43" xfId="0" applyNumberFormat="1" applyFont="1" applyFill="1" applyBorder="1" applyAlignment="1">
      <alignment horizontal="right"/>
    </xf>
    <xf numFmtId="0" fontId="11" fillId="31" borderId="41" xfId="0" applyFont="1" applyFill="1" applyBorder="1"/>
    <xf numFmtId="0" fontId="12" fillId="31" borderId="42" xfId="0" applyFont="1" applyFill="1" applyBorder="1"/>
    <xf numFmtId="0" fontId="11" fillId="31" borderId="42" xfId="0" applyFont="1" applyFill="1" applyBorder="1"/>
    <xf numFmtId="0" fontId="11" fillId="31" borderId="43" xfId="0" applyFont="1" applyFill="1" applyBorder="1"/>
    <xf numFmtId="0" fontId="61" fillId="30" borderId="0" xfId="0" applyFont="1" applyFill="1" applyAlignment="1">
      <alignment vertical="center" wrapText="1"/>
    </xf>
    <xf numFmtId="0" fontId="76" fillId="32" borderId="43" xfId="0" applyFont="1" applyFill="1" applyBorder="1" applyAlignment="1">
      <alignment horizontal="right"/>
    </xf>
    <xf numFmtId="0" fontId="11" fillId="31" borderId="0" xfId="0" applyFont="1" applyFill="1"/>
    <xf numFmtId="0" fontId="12" fillId="31" borderId="0" xfId="0" applyFont="1" applyFill="1"/>
    <xf numFmtId="9" fontId="8" fillId="0" borderId="42" xfId="2" applyFont="1" applyBorder="1" applyAlignment="1">
      <alignment horizontal="right"/>
    </xf>
    <xf numFmtId="9" fontId="8" fillId="0" borderId="43" xfId="2" applyFont="1" applyBorder="1" applyAlignment="1">
      <alignment horizontal="right"/>
    </xf>
    <xf numFmtId="9" fontId="8" fillId="31" borderId="42" xfId="2" applyFont="1" applyFill="1" applyBorder="1" applyAlignment="1">
      <alignment horizontal="right"/>
    </xf>
    <xf numFmtId="9" fontId="8" fillId="31" borderId="43" xfId="2" applyFont="1" applyFill="1" applyBorder="1" applyAlignment="1">
      <alignment horizontal="right"/>
    </xf>
    <xf numFmtId="3" fontId="12" fillId="31" borderId="42" xfId="0" applyNumberFormat="1" applyFont="1" applyFill="1" applyBorder="1" applyAlignment="1">
      <alignment horizontal="right"/>
    </xf>
    <xf numFmtId="0" fontId="11" fillId="31" borderId="42" xfId="0" quotePrefix="1" applyFont="1" applyFill="1" applyBorder="1" applyAlignment="1">
      <alignment horizontal="left"/>
    </xf>
    <xf numFmtId="3" fontId="11" fillId="31" borderId="42" xfId="0" applyNumberFormat="1" applyFont="1" applyFill="1" applyBorder="1" applyAlignment="1">
      <alignment horizontal="right"/>
    </xf>
    <xf numFmtId="0" fontId="12" fillId="31" borderId="0" xfId="0" applyFont="1" applyFill="1" applyAlignment="1">
      <alignment horizontal="left"/>
    </xf>
    <xf numFmtId="0" fontId="11" fillId="31" borderId="0" xfId="0" applyFont="1" applyFill="1" applyAlignment="1">
      <alignment horizontal="left"/>
    </xf>
    <xf numFmtId="0" fontId="11" fillId="33" borderId="0" xfId="0" applyFont="1" applyFill="1" applyAlignment="1">
      <alignment horizontal="left"/>
    </xf>
    <xf numFmtId="3" fontId="11" fillId="33" borderId="43" xfId="0" applyNumberFormat="1" applyFont="1" applyFill="1" applyBorder="1" applyAlignment="1">
      <alignment horizontal="right"/>
    </xf>
    <xf numFmtId="0" fontId="11" fillId="0" borderId="41" xfId="0" applyFont="1" applyBorder="1"/>
    <xf numFmtId="0" fontId="11" fillId="0" borderId="43" xfId="0" applyFont="1" applyBorder="1"/>
    <xf numFmtId="3" fontId="12" fillId="0" borderId="42" xfId="0" applyNumberFormat="1" applyFont="1" applyBorder="1"/>
    <xf numFmtId="3" fontId="12" fillId="0" borderId="43" xfId="0" applyNumberFormat="1" applyFont="1" applyBorder="1"/>
    <xf numFmtId="0" fontId="12" fillId="0" borderId="42" xfId="0" applyFont="1" applyBorder="1"/>
    <xf numFmtId="3" fontId="11" fillId="0" borderId="42" xfId="0" applyNumberFormat="1" applyFont="1" applyBorder="1"/>
    <xf numFmtId="3" fontId="11" fillId="0" borderId="43" xfId="0" applyNumberFormat="1" applyFont="1" applyBorder="1"/>
    <xf numFmtId="0" fontId="12" fillId="0" borderId="41" xfId="0" applyFont="1" applyBorder="1" applyAlignment="1">
      <alignment horizontal="left" indent="1"/>
    </xf>
    <xf numFmtId="0" fontId="12" fillId="31" borderId="41" xfId="0" applyFont="1" applyFill="1" applyBorder="1"/>
    <xf numFmtId="3" fontId="12" fillId="31" borderId="42" xfId="0" applyNumberFormat="1" applyFont="1" applyFill="1" applyBorder="1"/>
    <xf numFmtId="3" fontId="12" fillId="31" borderId="43" xfId="0" applyNumberFormat="1" applyFont="1" applyFill="1" applyBorder="1"/>
    <xf numFmtId="0" fontId="0" fillId="31" borderId="42" xfId="0" applyFill="1" applyBorder="1"/>
    <xf numFmtId="0" fontId="12" fillId="31" borderId="41" xfId="0" applyFont="1" applyFill="1" applyBorder="1" applyAlignment="1">
      <alignment horizontal="left" indent="1"/>
    </xf>
    <xf numFmtId="0" fontId="12" fillId="31" borderId="41" xfId="0" applyFont="1" applyFill="1" applyBorder="1" applyAlignment="1">
      <alignment horizontal="left" indent="2"/>
    </xf>
    <xf numFmtId="3" fontId="11" fillId="31" borderId="42" xfId="0" applyNumberFormat="1" applyFont="1" applyFill="1" applyBorder="1"/>
    <xf numFmtId="164" fontId="12" fillId="31" borderId="42" xfId="0" applyNumberFormat="1" applyFont="1" applyFill="1" applyBorder="1"/>
    <xf numFmtId="164" fontId="12" fillId="31" borderId="43" xfId="0" applyNumberFormat="1" applyFont="1" applyFill="1" applyBorder="1"/>
    <xf numFmtId="0" fontId="76" fillId="30" borderId="0" xfId="0" applyFont="1" applyFill="1" applyAlignment="1">
      <alignment horizontal="center" wrapText="1"/>
    </xf>
    <xf numFmtId="0" fontId="76" fillId="30" borderId="0" xfId="0" applyFont="1" applyFill="1" applyAlignment="1">
      <alignment horizontal="left"/>
    </xf>
    <xf numFmtId="3" fontId="12" fillId="0" borderId="42" xfId="0" applyNumberFormat="1" applyFont="1" applyBorder="1" applyAlignment="1">
      <alignment horizontal="center"/>
    </xf>
    <xf numFmtId="0" fontId="75" fillId="2" borderId="42" xfId="0" applyFont="1" applyFill="1" applyBorder="1" applyAlignment="1">
      <alignment horizontal="center"/>
    </xf>
    <xf numFmtId="3" fontId="11" fillId="2" borderId="42" xfId="0" applyNumberFormat="1" applyFont="1" applyFill="1" applyBorder="1" applyAlignment="1">
      <alignment horizontal="center"/>
    </xf>
    <xf numFmtId="0" fontId="0" fillId="2" borderId="42" xfId="0" applyFill="1" applyBorder="1"/>
    <xf numFmtId="0" fontId="22" fillId="2" borderId="42" xfId="0" applyFont="1" applyFill="1" applyBorder="1"/>
    <xf numFmtId="0" fontId="22" fillId="2" borderId="43" xfId="0" applyFont="1" applyFill="1" applyBorder="1" applyAlignment="1">
      <alignment horizontal="center"/>
    </xf>
    <xf numFmtId="0" fontId="0" fillId="2" borderId="43" xfId="0" applyFill="1" applyBorder="1"/>
    <xf numFmtId="0" fontId="76" fillId="30" borderId="0" xfId="0" applyFont="1" applyFill="1" applyAlignment="1">
      <alignment horizontal="left" vertical="center"/>
    </xf>
    <xf numFmtId="0" fontId="76" fillId="30" borderId="0" xfId="0" applyFont="1" applyFill="1" applyAlignment="1">
      <alignment horizontal="center" vertical="center"/>
    </xf>
    <xf numFmtId="0" fontId="76" fillId="30" borderId="0" xfId="0" applyFont="1" applyFill="1" applyAlignment="1">
      <alignment horizontal="center" vertical="center" wrapText="1"/>
    </xf>
    <xf numFmtId="1" fontId="12" fillId="0" borderId="42" xfId="0" applyNumberFormat="1" applyFont="1" applyBorder="1"/>
    <xf numFmtId="1" fontId="12" fillId="0" borderId="43" xfId="0" applyNumberFormat="1" applyFont="1" applyBorder="1"/>
    <xf numFmtId="0" fontId="12" fillId="31" borderId="43" xfId="0" applyFont="1" applyFill="1" applyBorder="1"/>
    <xf numFmtId="3" fontId="11" fillId="31" borderId="43" xfId="0" applyNumberFormat="1" applyFont="1" applyFill="1" applyBorder="1"/>
    <xf numFmtId="1" fontId="27" fillId="0" borderId="42" xfId="0" applyNumberFormat="1" applyFont="1" applyBorder="1" applyAlignment="1">
      <alignment horizontal="center" vertical="top" shrinkToFit="1"/>
    </xf>
    <xf numFmtId="3" fontId="12" fillId="0" borderId="43" xfId="0" applyNumberFormat="1" applyFont="1" applyBorder="1" applyAlignment="1">
      <alignment horizontal="center"/>
    </xf>
    <xf numFmtId="3" fontId="27" fillId="0" borderId="42" xfId="0" applyNumberFormat="1" applyFont="1" applyBorder="1" applyAlignment="1">
      <alignment horizontal="center" vertical="top" wrapText="1"/>
    </xf>
    <xf numFmtId="3" fontId="26" fillId="0" borderId="42" xfId="0" applyNumberFormat="1" applyFont="1" applyBorder="1" applyAlignment="1">
      <alignment horizontal="center" vertical="top" wrapText="1"/>
    </xf>
    <xf numFmtId="3" fontId="11" fillId="2" borderId="43" xfId="0" applyNumberFormat="1" applyFont="1" applyFill="1" applyBorder="1" applyAlignment="1">
      <alignment horizontal="center"/>
    </xf>
    <xf numFmtId="2" fontId="12" fillId="31" borderId="42" xfId="0" applyNumberFormat="1" applyFont="1" applyFill="1" applyBorder="1"/>
    <xf numFmtId="2" fontId="12" fillId="31" borderId="43" xfId="0" applyNumberFormat="1" applyFont="1" applyFill="1" applyBorder="1"/>
    <xf numFmtId="0" fontId="61" fillId="30" borderId="0" xfId="0" applyFont="1" applyFill="1" applyAlignment="1">
      <alignment horizontal="left"/>
    </xf>
    <xf numFmtId="0" fontId="61" fillId="30" borderId="0" xfId="0" applyFont="1" applyFill="1" applyAlignment="1">
      <alignment horizontal="left" vertical="center"/>
    </xf>
    <xf numFmtId="1" fontId="12" fillId="0" borderId="42" xfId="0" applyNumberFormat="1" applyFont="1" applyBorder="1" applyAlignment="1">
      <alignment horizontal="center"/>
    </xf>
    <xf numFmtId="0" fontId="121" fillId="32" borderId="0" xfId="0" applyFont="1" applyFill="1"/>
    <xf numFmtId="0" fontId="76" fillId="32" borderId="41" xfId="0" applyFont="1" applyFill="1" applyBorder="1"/>
    <xf numFmtId="0" fontId="121" fillId="32" borderId="43" xfId="0" applyFont="1" applyFill="1" applyBorder="1" applyAlignment="1">
      <alignment horizontal="right"/>
    </xf>
    <xf numFmtId="0" fontId="121" fillId="30" borderId="0" xfId="0" applyFont="1" applyFill="1" applyAlignment="1">
      <alignment vertical="center"/>
    </xf>
    <xf numFmtId="1" fontId="12" fillId="31" borderId="42" xfId="0" applyNumberFormat="1" applyFont="1" applyFill="1" applyBorder="1"/>
    <xf numFmtId="1" fontId="12" fillId="31" borderId="43" xfId="0" applyNumberFormat="1" applyFont="1" applyFill="1" applyBorder="1"/>
    <xf numFmtId="0" fontId="22" fillId="0" borderId="41" xfId="0" applyFont="1" applyBorder="1"/>
    <xf numFmtId="0" fontId="22" fillId="0" borderId="42" xfId="0" applyFont="1" applyBorder="1"/>
    <xf numFmtId="0" fontId="22" fillId="0" borderId="43" xfId="0" applyFont="1" applyBorder="1"/>
    <xf numFmtId="0" fontId="11" fillId="31" borderId="41" xfId="0" applyFont="1" applyFill="1" applyBorder="1" applyAlignment="1">
      <alignment horizontal="left" indent="1"/>
    </xf>
    <xf numFmtId="0" fontId="12" fillId="0" borderId="43" xfId="0" applyFont="1" applyBorder="1" applyAlignment="1">
      <alignment horizontal="left"/>
    </xf>
    <xf numFmtId="0" fontId="12" fillId="0" borderId="43" xfId="0" applyFont="1" applyBorder="1" applyAlignment="1">
      <alignment horizontal="left" indent="1"/>
    </xf>
    <xf numFmtId="0" fontId="76" fillId="30" borderId="0" xfId="0" applyFont="1" applyFill="1" applyAlignment="1">
      <alignment horizontal="left" vertical="center" wrapText="1"/>
    </xf>
    <xf numFmtId="9" fontId="12" fillId="0" borderId="43" xfId="2" applyFont="1" applyBorder="1" applyAlignment="1">
      <alignment horizontal="center"/>
    </xf>
    <xf numFmtId="0" fontId="22" fillId="0" borderId="41" xfId="0" applyFont="1" applyBorder="1" applyAlignment="1">
      <alignment horizontal="center"/>
    </xf>
    <xf numFmtId="0" fontId="22" fillId="0" borderId="42" xfId="0" applyFont="1" applyBorder="1" applyAlignment="1">
      <alignment horizontal="center"/>
    </xf>
    <xf numFmtId="3" fontId="11" fillId="0" borderId="43" xfId="0" applyNumberFormat="1" applyFont="1" applyBorder="1" applyAlignment="1">
      <alignment horizontal="center"/>
    </xf>
    <xf numFmtId="1" fontId="12" fillId="0" borderId="41" xfId="0" applyNumberFormat="1" applyFont="1" applyBorder="1" applyAlignment="1">
      <alignment horizontal="center"/>
    </xf>
    <xf numFmtId="1" fontId="12" fillId="0" borderId="43" xfId="0" applyNumberFormat="1" applyFont="1" applyBorder="1" applyAlignment="1">
      <alignment horizontal="center"/>
    </xf>
    <xf numFmtId="1" fontId="11" fillId="0" borderId="41" xfId="0" applyNumberFormat="1" applyFont="1" applyBorder="1" applyAlignment="1">
      <alignment horizontal="center"/>
    </xf>
    <xf numFmtId="1" fontId="11" fillId="0" borderId="42" xfId="0" applyNumberFormat="1" applyFont="1" applyBorder="1" applyAlignment="1">
      <alignment horizontal="center"/>
    </xf>
    <xf numFmtId="1" fontId="11" fillId="0" borderId="43" xfId="0" applyNumberFormat="1" applyFont="1" applyBorder="1" applyAlignment="1">
      <alignment horizontal="center"/>
    </xf>
    <xf numFmtId="3" fontId="12" fillId="31" borderId="0" xfId="0" applyNumberFormat="1" applyFont="1" applyFill="1"/>
    <xf numFmtId="3" fontId="11" fillId="31" borderId="0" xfId="0" applyNumberFormat="1" applyFont="1" applyFill="1"/>
    <xf numFmtId="0" fontId="12" fillId="31" borderId="0" xfId="0" applyFont="1" applyFill="1" applyAlignment="1">
      <alignment horizontal="left" indent="1"/>
    </xf>
    <xf numFmtId="0" fontId="12" fillId="0" borderId="0" xfId="0" applyFont="1" applyAlignment="1">
      <alignment horizontal="left" wrapText="1"/>
    </xf>
    <xf numFmtId="0" fontId="76" fillId="30" borderId="41" xfId="0" applyFont="1" applyFill="1" applyBorder="1"/>
    <xf numFmtId="0" fontId="87" fillId="30" borderId="43" xfId="0" applyFont="1" applyFill="1" applyBorder="1" applyAlignment="1">
      <alignment horizontal="center" vertical="top"/>
    </xf>
    <xf numFmtId="9" fontId="12" fillId="0" borderId="42" xfId="0" applyNumberFormat="1" applyFont="1" applyBorder="1" applyAlignment="1">
      <alignment horizontal="center"/>
    </xf>
    <xf numFmtId="166" fontId="12" fillId="0" borderId="42" xfId="0" applyNumberFormat="1" applyFont="1" applyBorder="1"/>
    <xf numFmtId="166" fontId="12" fillId="0" borderId="43" xfId="0" applyNumberFormat="1" applyFont="1" applyBorder="1"/>
    <xf numFmtId="4" fontId="12" fillId="0" borderId="42" xfId="0" applyNumberFormat="1" applyFont="1" applyBorder="1"/>
    <xf numFmtId="4" fontId="12" fillId="0" borderId="43" xfId="0" applyNumberFormat="1" applyFont="1" applyBorder="1"/>
    <xf numFmtId="169" fontId="12" fillId="0" borderId="42" xfId="0" applyNumberFormat="1" applyFont="1" applyBorder="1"/>
    <xf numFmtId="169" fontId="12" fillId="0" borderId="43" xfId="0" applyNumberFormat="1" applyFont="1" applyBorder="1"/>
    <xf numFmtId="0" fontId="12" fillId="2" borderId="41" xfId="0" applyFont="1" applyFill="1" applyBorder="1"/>
    <xf numFmtId="3" fontId="11" fillId="0" borderId="43" xfId="0" applyNumberFormat="1" applyFont="1" applyBorder="1" applyAlignment="1">
      <alignment horizontal="center" wrapText="1"/>
    </xf>
    <xf numFmtId="0" fontId="11" fillId="2" borderId="41" xfId="0" applyFont="1" applyFill="1" applyBorder="1"/>
    <xf numFmtId="3" fontId="12" fillId="2" borderId="43" xfId="0" applyNumberFormat="1" applyFont="1" applyFill="1" applyBorder="1" applyAlignment="1">
      <alignment horizontal="center"/>
    </xf>
    <xf numFmtId="9" fontId="12" fillId="7" borderId="42" xfId="0" applyNumberFormat="1" applyFont="1" applyFill="1" applyBorder="1" applyAlignment="1">
      <alignment horizontal="center"/>
    </xf>
    <xf numFmtId="9" fontId="12" fillId="0" borderId="42" xfId="2" applyFont="1" applyBorder="1" applyAlignment="1">
      <alignment horizontal="center"/>
    </xf>
    <xf numFmtId="166" fontId="12" fillId="31" borderId="42" xfId="0" applyNumberFormat="1" applyFont="1" applyFill="1" applyBorder="1"/>
    <xf numFmtId="166" fontId="12" fillId="31" borderId="43" xfId="0" applyNumberFormat="1" applyFont="1" applyFill="1" applyBorder="1"/>
    <xf numFmtId="0" fontId="61" fillId="30" borderId="0" xfId="0" applyFont="1" applyFill="1" applyAlignment="1">
      <alignment horizontal="center"/>
    </xf>
    <xf numFmtId="0" fontId="8" fillId="2" borderId="41" xfId="0" applyFont="1" applyFill="1" applyBorder="1" applyAlignment="1">
      <alignment horizontal="left"/>
    </xf>
    <xf numFmtId="3" fontId="8" fillId="0" borderId="42" xfId="0" applyNumberFormat="1" applyFont="1" applyBorder="1" applyAlignment="1">
      <alignment horizontal="center"/>
    </xf>
    <xf numFmtId="0" fontId="8" fillId="2" borderId="42" xfId="0" applyFont="1" applyFill="1" applyBorder="1" applyAlignment="1">
      <alignment horizontal="left"/>
    </xf>
    <xf numFmtId="0" fontId="8" fillId="2" borderId="43" xfId="0" applyFont="1" applyFill="1" applyBorder="1" applyAlignment="1">
      <alignment horizontal="left"/>
    </xf>
    <xf numFmtId="0" fontId="46" fillId="2" borderId="43" xfId="0" applyFont="1" applyFill="1" applyBorder="1" applyAlignment="1">
      <alignment horizontal="center"/>
    </xf>
    <xf numFmtId="0" fontId="12" fillId="2" borderId="43" xfId="0" applyFont="1" applyFill="1" applyBorder="1"/>
    <xf numFmtId="0" fontId="11" fillId="2" borderId="41" xfId="0" applyFont="1" applyFill="1" applyBorder="1" applyAlignment="1">
      <alignment horizontal="left"/>
    </xf>
    <xf numFmtId="166" fontId="8" fillId="0" borderId="42" xfId="0" applyNumberFormat="1" applyFont="1" applyBorder="1" applyAlignment="1">
      <alignment horizontal="center"/>
    </xf>
    <xf numFmtId="1" fontId="8" fillId="0" borderId="43" xfId="0" applyNumberFormat="1" applyFont="1" applyBorder="1" applyAlignment="1">
      <alignment horizontal="center"/>
    </xf>
    <xf numFmtId="166" fontId="8" fillId="31" borderId="43" xfId="0" applyNumberFormat="1" applyFont="1" applyFill="1" applyBorder="1" applyAlignment="1">
      <alignment horizontal="center"/>
    </xf>
    <xf numFmtId="1" fontId="11" fillId="0" borderId="42" xfId="0" applyNumberFormat="1" applyFont="1" applyBorder="1"/>
    <xf numFmtId="1" fontId="11" fillId="0" borderId="43" xfId="0" applyNumberFormat="1" applyFont="1" applyBorder="1"/>
    <xf numFmtId="0" fontId="7" fillId="31" borderId="42" xfId="0" applyFont="1" applyFill="1" applyBorder="1" applyAlignment="1">
      <alignment vertical="center" textRotation="90" wrapText="1"/>
    </xf>
    <xf numFmtId="0" fontId="8" fillId="31" borderId="42" xfId="0" applyFont="1" applyFill="1" applyBorder="1" applyAlignment="1">
      <alignment horizontal="left"/>
    </xf>
    <xf numFmtId="0" fontId="8" fillId="31" borderId="41" xfId="0" applyFont="1" applyFill="1" applyBorder="1" applyAlignment="1">
      <alignment horizontal="left"/>
    </xf>
    <xf numFmtId="0" fontId="8" fillId="0" borderId="41" xfId="0" applyFont="1" applyBorder="1" applyAlignment="1">
      <alignment horizontal="left"/>
    </xf>
    <xf numFmtId="0" fontId="8" fillId="0" borderId="42" xfId="0" applyFont="1" applyBorder="1" applyAlignment="1">
      <alignment horizontal="left"/>
    </xf>
    <xf numFmtId="166" fontId="8" fillId="0" borderId="43" xfId="0" applyNumberFormat="1" applyFont="1" applyBorder="1" applyAlignment="1">
      <alignment horizontal="right"/>
    </xf>
    <xf numFmtId="165" fontId="12" fillId="0" borderId="42" xfId="0" applyNumberFormat="1" applyFont="1" applyBorder="1"/>
    <xf numFmtId="165" fontId="12" fillId="0" borderId="43" xfId="0" applyNumberFormat="1" applyFont="1" applyBorder="1"/>
    <xf numFmtId="0" fontId="0" fillId="2" borderId="41" xfId="0" applyFill="1" applyBorder="1"/>
    <xf numFmtId="0" fontId="38" fillId="7" borderId="41" xfId="0" applyFont="1" applyFill="1" applyBorder="1"/>
    <xf numFmtId="0" fontId="97" fillId="30" borderId="0" xfId="0" applyFont="1" applyFill="1" applyAlignment="1">
      <alignment horizontal="left"/>
    </xf>
    <xf numFmtId="0" fontId="123" fillId="30" borderId="41" xfId="0" applyFont="1" applyFill="1" applyBorder="1"/>
    <xf numFmtId="0" fontId="123" fillId="30" borderId="42" xfId="0" applyFont="1" applyFill="1" applyBorder="1" applyAlignment="1">
      <alignment horizontal="center"/>
    </xf>
    <xf numFmtId="0" fontId="123" fillId="30" borderId="43" xfId="0" applyFont="1" applyFill="1" applyBorder="1" applyAlignment="1">
      <alignment horizontal="center"/>
    </xf>
    <xf numFmtId="0" fontId="61" fillId="32" borderId="36" xfId="0" applyFont="1" applyFill="1" applyBorder="1"/>
    <xf numFmtId="0" fontId="76" fillId="30" borderId="0" xfId="0" applyFont="1" applyFill="1"/>
    <xf numFmtId="0" fontId="2" fillId="30" borderId="43" xfId="0" applyFont="1" applyFill="1" applyBorder="1"/>
    <xf numFmtId="0" fontId="1" fillId="2" borderId="41" xfId="0" applyFont="1" applyFill="1" applyBorder="1"/>
    <xf numFmtId="0" fontId="61" fillId="32" borderId="41" xfId="0" applyFont="1" applyFill="1" applyBorder="1"/>
    <xf numFmtId="0" fontId="97" fillId="30" borderId="0" xfId="0" applyFont="1" applyFill="1"/>
    <xf numFmtId="168" fontId="12" fillId="0" borderId="42" xfId="2" applyNumberFormat="1" applyFont="1" applyBorder="1" applyAlignment="1">
      <alignment horizontal="right"/>
    </xf>
    <xf numFmtId="168" fontId="12" fillId="0" borderId="43" xfId="2" applyNumberFormat="1" applyFont="1" applyBorder="1" applyAlignment="1">
      <alignment horizontal="right"/>
    </xf>
    <xf numFmtId="0" fontId="76" fillId="30" borderId="41" xfId="0" applyFont="1" applyFill="1" applyBorder="1" applyAlignment="1">
      <alignment horizontal="left"/>
    </xf>
    <xf numFmtId="1" fontId="76" fillId="30" borderId="42" xfId="0" applyNumberFormat="1" applyFont="1" applyFill="1" applyBorder="1" applyAlignment="1">
      <alignment horizontal="center"/>
    </xf>
    <xf numFmtId="1" fontId="76" fillId="30" borderId="42" xfId="0" applyNumberFormat="1" applyFont="1" applyFill="1" applyBorder="1" applyAlignment="1">
      <alignment horizontal="center" wrapText="1"/>
    </xf>
    <xf numFmtId="1" fontId="76" fillId="30" borderId="43" xfId="0" applyNumberFormat="1" applyFont="1" applyFill="1" applyBorder="1" applyAlignment="1">
      <alignment horizontal="center" wrapText="1"/>
    </xf>
    <xf numFmtId="1" fontId="8" fillId="0" borderId="42" xfId="0" applyNumberFormat="1" applyFont="1" applyBorder="1" applyAlignment="1">
      <alignment horizontal="center"/>
    </xf>
    <xf numFmtId="1" fontId="76" fillId="30" borderId="42" xfId="0" applyNumberFormat="1" applyFont="1" applyFill="1" applyBorder="1" applyAlignment="1">
      <alignment horizontal="center" vertical="center"/>
    </xf>
    <xf numFmtId="1" fontId="76" fillId="30" borderId="42" xfId="0" applyNumberFormat="1" applyFont="1" applyFill="1" applyBorder="1" applyAlignment="1">
      <alignment horizontal="center" vertical="center" wrapText="1"/>
    </xf>
    <xf numFmtId="1" fontId="76" fillId="30" borderId="43" xfId="0" applyNumberFormat="1" applyFont="1" applyFill="1" applyBorder="1" applyAlignment="1">
      <alignment horizontal="center" vertical="center" wrapText="1"/>
    </xf>
    <xf numFmtId="0" fontId="76" fillId="30" borderId="43" xfId="0" applyFont="1" applyFill="1" applyBorder="1" applyAlignment="1">
      <alignment horizontal="center" vertical="center" wrapText="1"/>
    </xf>
    <xf numFmtId="0" fontId="12" fillId="2" borderId="41" xfId="0" applyFont="1" applyFill="1" applyBorder="1" applyAlignment="1">
      <alignment horizontal="left"/>
    </xf>
    <xf numFmtId="3" fontId="12" fillId="2" borderId="42" xfId="0" applyNumberFormat="1" applyFont="1" applyFill="1" applyBorder="1" applyAlignment="1">
      <alignment horizontal="center"/>
    </xf>
    <xf numFmtId="3" fontId="8" fillId="2" borderId="43" xfId="0" applyNumberFormat="1" applyFont="1" applyFill="1" applyBorder="1" applyAlignment="1">
      <alignment horizontal="center"/>
    </xf>
    <xf numFmtId="4" fontId="8" fillId="31" borderId="42" xfId="0" applyNumberFormat="1" applyFont="1" applyFill="1" applyBorder="1" applyAlignment="1">
      <alignment horizontal="right"/>
    </xf>
    <xf numFmtId="4" fontId="8" fillId="31" borderId="43" xfId="0" applyNumberFormat="1" applyFont="1" applyFill="1" applyBorder="1" applyAlignment="1">
      <alignment horizontal="right"/>
    </xf>
    <xf numFmtId="168" fontId="8" fillId="0" borderId="43" xfId="2" applyNumberFormat="1" applyFont="1" applyFill="1" applyBorder="1" applyAlignment="1">
      <alignment horizontal="center"/>
    </xf>
    <xf numFmtId="0" fontId="46" fillId="2" borderId="42" xfId="0" applyFont="1" applyFill="1" applyBorder="1"/>
    <xf numFmtId="0" fontId="46" fillId="2" borderId="43" xfId="0" applyFont="1" applyFill="1" applyBorder="1"/>
    <xf numFmtId="3" fontId="8" fillId="0" borderId="43" xfId="0" applyNumberFormat="1" applyFont="1" applyBorder="1" applyAlignment="1">
      <alignment horizontal="center"/>
    </xf>
    <xf numFmtId="0" fontId="12" fillId="2" borderId="42" xfId="0" applyFont="1" applyFill="1" applyBorder="1" applyAlignment="1">
      <alignment horizontal="center"/>
    </xf>
    <xf numFmtId="0" fontId="8" fillId="2" borderId="43" xfId="0" applyFont="1" applyFill="1" applyBorder="1" applyAlignment="1">
      <alignment horizontal="center"/>
    </xf>
    <xf numFmtId="0" fontId="0" fillId="2" borderId="43" xfId="0" applyFill="1" applyBorder="1" applyAlignment="1">
      <alignment horizontal="center"/>
    </xf>
    <xf numFmtId="0" fontId="8" fillId="0" borderId="41" xfId="0" applyFont="1" applyBorder="1" applyAlignment="1">
      <alignment horizontal="left" indent="1"/>
    </xf>
    <xf numFmtId="0" fontId="11" fillId="2" borderId="43" xfId="0" applyFont="1" applyFill="1" applyBorder="1" applyAlignment="1">
      <alignment horizontal="center"/>
    </xf>
    <xf numFmtId="0" fontId="122" fillId="2" borderId="41" xfId="0" applyFont="1" applyFill="1" applyBorder="1" applyAlignment="1">
      <alignment horizontal="left"/>
    </xf>
    <xf numFmtId="0" fontId="8" fillId="0" borderId="43" xfId="0" applyFont="1" applyBorder="1" applyAlignment="1">
      <alignment horizontal="center" wrapText="1"/>
    </xf>
    <xf numFmtId="0" fontId="8" fillId="0" borderId="41" xfId="0" applyFont="1" applyBorder="1" applyAlignment="1">
      <alignment horizontal="center" wrapText="1"/>
    </xf>
    <xf numFmtId="0" fontId="8" fillId="0" borderId="42" xfId="0" applyFont="1" applyBorder="1" applyAlignment="1">
      <alignment horizontal="center" wrapText="1"/>
    </xf>
    <xf numFmtId="0" fontId="12" fillId="2" borderId="43" xfId="0" applyFont="1" applyFill="1" applyBorder="1" applyAlignment="1">
      <alignment horizontal="center" wrapText="1"/>
    </xf>
    <xf numFmtId="0" fontId="61" fillId="30" borderId="0" xfId="0" applyFont="1" applyFill="1" applyAlignment="1">
      <alignment horizontal="left" indent="2"/>
    </xf>
    <xf numFmtId="0" fontId="76" fillId="30" borderId="42" xfId="0" applyFont="1" applyFill="1" applyBorder="1" applyAlignment="1">
      <alignment horizontal="center" vertical="center"/>
    </xf>
    <xf numFmtId="0" fontId="76" fillId="30" borderId="43" xfId="0" applyFont="1" applyFill="1" applyBorder="1" applyAlignment="1">
      <alignment horizontal="center" vertical="center"/>
    </xf>
    <xf numFmtId="168" fontId="12" fillId="0" borderId="43" xfId="2" applyNumberFormat="1" applyFont="1" applyBorder="1" applyAlignment="1">
      <alignment horizontal="center"/>
    </xf>
    <xf numFmtId="168" fontId="11" fillId="0" borderId="42" xfId="2" applyNumberFormat="1" applyFont="1" applyBorder="1" applyAlignment="1">
      <alignment horizontal="center"/>
    </xf>
    <xf numFmtId="168" fontId="11" fillId="0" borderId="43" xfId="2" applyNumberFormat="1" applyFont="1" applyBorder="1" applyAlignment="1">
      <alignment horizontal="center"/>
    </xf>
    <xf numFmtId="0" fontId="97" fillId="30" borderId="41" xfId="0" applyFont="1" applyFill="1" applyBorder="1" applyAlignment="1">
      <alignment horizontal="left" vertical="center"/>
    </xf>
    <xf numFmtId="0" fontId="2" fillId="30" borderId="42" xfId="0" applyFont="1" applyFill="1" applyBorder="1" applyAlignment="1">
      <alignment vertical="center"/>
    </xf>
    <xf numFmtId="0" fontId="97" fillId="30" borderId="42" xfId="0" applyFont="1" applyFill="1" applyBorder="1" applyAlignment="1">
      <alignment horizontal="left" vertical="center"/>
    </xf>
    <xf numFmtId="0" fontId="76" fillId="30" borderId="41" xfId="0" applyFont="1" applyFill="1" applyBorder="1" applyAlignment="1">
      <alignment horizontal="center"/>
    </xf>
    <xf numFmtId="0" fontId="76" fillId="30" borderId="42" xfId="0" applyFont="1" applyFill="1" applyBorder="1" applyAlignment="1">
      <alignment horizontal="center"/>
    </xf>
    <xf numFmtId="0" fontId="76" fillId="30" borderId="43" xfId="0" applyFont="1" applyFill="1" applyBorder="1" applyAlignment="1">
      <alignment horizontal="center"/>
    </xf>
    <xf numFmtId="9" fontId="22" fillId="2" borderId="41" xfId="2" applyFont="1" applyFill="1" applyBorder="1" applyAlignment="1">
      <alignment horizontal="center"/>
    </xf>
    <xf numFmtId="9" fontId="22" fillId="0" borderId="42" xfId="2" applyFont="1" applyBorder="1" applyAlignment="1">
      <alignment horizontal="center"/>
    </xf>
    <xf numFmtId="9" fontId="22" fillId="2" borderId="42" xfId="2" applyFont="1" applyFill="1" applyBorder="1" applyAlignment="1">
      <alignment horizontal="center"/>
    </xf>
    <xf numFmtId="9" fontId="22" fillId="0" borderId="43" xfId="2" applyFont="1" applyBorder="1" applyAlignment="1">
      <alignment horizontal="center"/>
    </xf>
    <xf numFmtId="0" fontId="76" fillId="30" borderId="3" xfId="0" applyFont="1" applyFill="1" applyBorder="1" applyAlignment="1">
      <alignment horizontal="left" vertical="center" wrapText="1"/>
    </xf>
    <xf numFmtId="0" fontId="76" fillId="30" borderId="1" xfId="0" applyFont="1" applyFill="1" applyBorder="1" applyAlignment="1">
      <alignment horizontal="left" vertical="center" wrapText="1"/>
    </xf>
    <xf numFmtId="0" fontId="76" fillId="30" borderId="1" xfId="0" applyFont="1" applyFill="1" applyBorder="1" applyAlignment="1">
      <alignment horizontal="left" vertical="center"/>
    </xf>
    <xf numFmtId="0" fontId="12" fillId="0" borderId="0" xfId="0" applyFont="1" applyAlignment="1">
      <alignment wrapText="1"/>
    </xf>
    <xf numFmtId="0" fontId="15" fillId="11" borderId="3" xfId="0" applyFont="1" applyFill="1" applyBorder="1" applyAlignment="1">
      <alignment horizontal="left" vertical="center" wrapText="1"/>
    </xf>
    <xf numFmtId="0" fontId="14" fillId="14" borderId="3" xfId="0" applyFont="1" applyFill="1" applyBorder="1" applyAlignment="1">
      <alignment horizontal="left" vertical="center" wrapText="1"/>
    </xf>
    <xf numFmtId="170" fontId="12" fillId="0" borderId="4" xfId="4" applyNumberFormat="1" applyFont="1" applyBorder="1" applyAlignment="1">
      <alignment wrapText="1"/>
    </xf>
    <xf numFmtId="170" fontId="12" fillId="0" borderId="4" xfId="0" applyNumberFormat="1" applyFont="1" applyBorder="1" applyAlignment="1">
      <alignment wrapText="1"/>
    </xf>
    <xf numFmtId="0" fontId="12" fillId="0" borderId="4" xfId="0" applyFont="1" applyBorder="1" applyAlignment="1">
      <alignment wrapText="1"/>
    </xf>
    <xf numFmtId="0" fontId="14" fillId="15" borderId="32" xfId="0" applyFont="1" applyFill="1" applyBorder="1" applyAlignment="1">
      <alignment vertical="center" wrapText="1"/>
    </xf>
    <xf numFmtId="0" fontId="14" fillId="15" borderId="33" xfId="0" applyFont="1" applyFill="1" applyBorder="1" applyAlignment="1">
      <alignment vertical="center" wrapText="1"/>
    </xf>
    <xf numFmtId="0" fontId="14" fillId="15" borderId="34" xfId="0" applyFont="1" applyFill="1" applyBorder="1" applyAlignment="1">
      <alignment vertical="center" wrapText="1"/>
    </xf>
    <xf numFmtId="0" fontId="12" fillId="2" borderId="73" xfId="0" applyFont="1" applyFill="1" applyBorder="1" applyAlignment="1" applyProtection="1">
      <alignment horizontal="center"/>
      <protection locked="0"/>
    </xf>
    <xf numFmtId="1" fontId="8" fillId="18" borderId="73" xfId="0" applyNumberFormat="1" applyFont="1" applyFill="1" applyBorder="1" applyAlignment="1" applyProtection="1">
      <alignment horizontal="center"/>
      <protection locked="0"/>
    </xf>
    <xf numFmtId="3" fontId="12" fillId="18" borderId="41" xfId="0" applyNumberFormat="1" applyFont="1" applyFill="1" applyBorder="1" applyAlignment="1" applyProtection="1">
      <alignment horizontal="center"/>
      <protection locked="0"/>
    </xf>
    <xf numFmtId="3" fontId="12" fillId="18" borderId="42" xfId="0" applyNumberFormat="1" applyFont="1" applyFill="1" applyBorder="1" applyAlignment="1" applyProtection="1">
      <alignment horizontal="center"/>
      <protection locked="0"/>
    </xf>
    <xf numFmtId="3" fontId="12" fillId="18" borderId="43" xfId="0" applyNumberFormat="1" applyFont="1" applyFill="1" applyBorder="1" applyAlignment="1" applyProtection="1">
      <alignment horizontal="center"/>
      <protection locked="0"/>
    </xf>
    <xf numFmtId="9" fontId="12" fillId="18" borderId="42" xfId="2" applyFont="1" applyFill="1" applyBorder="1" applyAlignment="1" applyProtection="1">
      <alignment horizontal="center"/>
      <protection locked="0"/>
    </xf>
    <xf numFmtId="9" fontId="12" fillId="18" borderId="43" xfId="0" applyNumberFormat="1" applyFont="1" applyFill="1" applyBorder="1" applyAlignment="1" applyProtection="1">
      <alignment horizontal="center"/>
      <protection locked="0"/>
    </xf>
    <xf numFmtId="0" fontId="12" fillId="18" borderId="43" xfId="0" applyFont="1" applyFill="1" applyBorder="1" applyAlignment="1" applyProtection="1">
      <alignment horizontal="center"/>
      <protection locked="0"/>
    </xf>
    <xf numFmtId="1" fontId="12" fillId="18" borderId="43" xfId="0" applyNumberFormat="1" applyFont="1" applyFill="1" applyBorder="1" applyAlignment="1" applyProtection="1">
      <alignment horizontal="center"/>
      <protection locked="0"/>
    </xf>
    <xf numFmtId="1" fontId="12" fillId="18" borderId="0" xfId="0" applyNumberFormat="1" applyFont="1" applyFill="1" applyAlignment="1" applyProtection="1">
      <alignment horizontal="center"/>
      <protection locked="0"/>
    </xf>
    <xf numFmtId="1" fontId="8" fillId="18" borderId="43" xfId="0" applyNumberFormat="1" applyFont="1" applyFill="1" applyBorder="1" applyAlignment="1" applyProtection="1">
      <alignment horizontal="center"/>
      <protection locked="0"/>
    </xf>
    <xf numFmtId="3" fontId="8" fillId="18" borderId="43" xfId="0" applyNumberFormat="1" applyFont="1" applyFill="1" applyBorder="1" applyAlignment="1" applyProtection="1">
      <alignment horizontal="center"/>
      <protection locked="0"/>
    </xf>
    <xf numFmtId="9" fontId="8" fillId="18" borderId="43" xfId="2" applyFont="1" applyFill="1" applyBorder="1" applyAlignment="1" applyProtection="1">
      <alignment horizontal="center"/>
      <protection locked="0"/>
    </xf>
    <xf numFmtId="166" fontId="8" fillId="18" borderId="43" xfId="0" applyNumberFormat="1" applyFont="1" applyFill="1" applyBorder="1" applyAlignment="1" applyProtection="1">
      <alignment horizontal="center"/>
      <protection locked="0"/>
    </xf>
    <xf numFmtId="168" fontId="8" fillId="18" borderId="43" xfId="2" applyNumberFormat="1" applyFont="1" applyFill="1" applyBorder="1" applyAlignment="1" applyProtection="1">
      <alignment horizontal="center"/>
      <protection locked="0"/>
    </xf>
    <xf numFmtId="0" fontId="8" fillId="18" borderId="43" xfId="0" applyFont="1" applyFill="1" applyBorder="1" applyAlignment="1" applyProtection="1">
      <alignment horizontal="center"/>
      <protection locked="0"/>
    </xf>
    <xf numFmtId="9" fontId="8" fillId="18" borderId="43" xfId="0" applyNumberFormat="1" applyFont="1" applyFill="1" applyBorder="1" applyAlignment="1" applyProtection="1">
      <alignment horizontal="center"/>
      <protection locked="0"/>
    </xf>
    <xf numFmtId="1" fontId="8" fillId="18" borderId="41" xfId="0" applyNumberFormat="1" applyFont="1" applyFill="1" applyBorder="1" applyAlignment="1" applyProtection="1">
      <alignment horizontal="left"/>
      <protection locked="0"/>
    </xf>
    <xf numFmtId="3" fontId="8" fillId="18" borderId="42" xfId="0" applyNumberFormat="1" applyFont="1" applyFill="1" applyBorder="1" applyAlignment="1" applyProtection="1">
      <alignment horizontal="center"/>
      <protection locked="0"/>
    </xf>
    <xf numFmtId="2" fontId="8" fillId="18" borderId="41" xfId="0" applyNumberFormat="1" applyFont="1" applyFill="1" applyBorder="1" applyAlignment="1" applyProtection="1">
      <alignment horizontal="center"/>
      <protection locked="0"/>
    </xf>
    <xf numFmtId="165" fontId="8" fillId="18" borderId="41" xfId="0" applyNumberFormat="1" applyFont="1" applyFill="1" applyBorder="1" applyAlignment="1" applyProtection="1">
      <alignment horizontal="center"/>
      <protection locked="0"/>
    </xf>
    <xf numFmtId="165" fontId="8" fillId="18" borderId="43" xfId="0" applyNumberFormat="1" applyFont="1" applyFill="1" applyBorder="1" applyAlignment="1" applyProtection="1">
      <alignment horizontal="center"/>
      <protection locked="0"/>
    </xf>
    <xf numFmtId="9" fontId="8" fillId="18" borderId="0" xfId="2" applyFont="1" applyFill="1" applyAlignment="1" applyProtection="1">
      <alignment horizontal="center"/>
      <protection locked="0"/>
    </xf>
    <xf numFmtId="9" fontId="12" fillId="18" borderId="42" xfId="0" applyNumberFormat="1" applyFont="1" applyFill="1" applyBorder="1" applyAlignment="1" applyProtection="1">
      <alignment horizontal="center"/>
      <protection locked="0"/>
    </xf>
    <xf numFmtId="9" fontId="12" fillId="18" borderId="0" xfId="0" applyNumberFormat="1" applyFont="1" applyFill="1" applyAlignment="1" applyProtection="1">
      <alignment horizontal="center"/>
      <protection locked="0"/>
    </xf>
    <xf numFmtId="3" fontId="12" fillId="18" borderId="0" xfId="0" applyNumberFormat="1" applyFont="1" applyFill="1" applyAlignment="1" applyProtection="1">
      <alignment horizontal="center"/>
      <protection locked="0"/>
    </xf>
    <xf numFmtId="168" fontId="12" fillId="18" borderId="43" xfId="2" applyNumberFormat="1" applyFont="1" applyFill="1" applyBorder="1" applyAlignment="1" applyProtection="1">
      <alignment horizontal="center"/>
      <protection locked="0"/>
    </xf>
    <xf numFmtId="1" fontId="12" fillId="18" borderId="42" xfId="0" applyNumberFormat="1" applyFont="1" applyFill="1" applyBorder="1" applyAlignment="1" applyProtection="1">
      <alignment horizontal="center"/>
      <protection locked="0"/>
    </xf>
    <xf numFmtId="0" fontId="12" fillId="18" borderId="0" xfId="0" applyFont="1" applyFill="1" applyAlignment="1" applyProtection="1">
      <alignment horizontal="center"/>
      <protection locked="0"/>
    </xf>
    <xf numFmtId="0" fontId="12" fillId="18" borderId="42" xfId="0" applyFont="1" applyFill="1" applyBorder="1" applyAlignment="1" applyProtection="1">
      <alignment horizontal="center"/>
      <protection locked="0"/>
    </xf>
    <xf numFmtId="164" fontId="12" fillId="18" borderId="0" xfId="0" applyNumberFormat="1" applyFont="1" applyFill="1" applyAlignment="1" applyProtection="1">
      <alignment horizontal="center"/>
      <protection locked="0"/>
    </xf>
    <xf numFmtId="165" fontId="12" fillId="18" borderId="43" xfId="0" applyNumberFormat="1" applyFont="1" applyFill="1" applyBorder="1" applyAlignment="1" applyProtection="1">
      <alignment horizontal="center"/>
      <protection locked="0"/>
    </xf>
    <xf numFmtId="1" fontId="8" fillId="18" borderId="42" xfId="0" applyNumberFormat="1" applyFont="1" applyFill="1" applyBorder="1" applyAlignment="1" applyProtection="1">
      <alignment horizontal="center"/>
      <protection locked="0"/>
    </xf>
    <xf numFmtId="166" fontId="8" fillId="18" borderId="42" xfId="0" applyNumberFormat="1" applyFont="1" applyFill="1" applyBorder="1" applyAlignment="1" applyProtection="1">
      <alignment horizontal="center"/>
      <protection locked="0"/>
    </xf>
    <xf numFmtId="168" fontId="8" fillId="18" borderId="42" xfId="2" applyNumberFormat="1" applyFont="1" applyFill="1" applyBorder="1" applyAlignment="1" applyProtection="1">
      <alignment horizontal="center"/>
      <protection locked="0"/>
    </xf>
    <xf numFmtId="4" fontId="8" fillId="18" borderId="42" xfId="0" applyNumberFormat="1" applyFont="1" applyFill="1" applyBorder="1" applyAlignment="1" applyProtection="1">
      <alignment horizontal="center"/>
      <protection locked="0"/>
    </xf>
    <xf numFmtId="9" fontId="8" fillId="18" borderId="42" xfId="2" applyFont="1" applyFill="1" applyBorder="1" applyAlignment="1" applyProtection="1">
      <alignment horizontal="center"/>
      <protection locked="0"/>
    </xf>
    <xf numFmtId="4" fontId="8" fillId="18" borderId="43" xfId="0" applyNumberFormat="1" applyFont="1" applyFill="1" applyBorder="1" applyAlignment="1" applyProtection="1">
      <alignment horizontal="center"/>
      <protection locked="0"/>
    </xf>
    <xf numFmtId="1" fontId="8" fillId="18" borderId="0" xfId="0" applyNumberFormat="1" applyFont="1" applyFill="1" applyAlignment="1" applyProtection="1">
      <alignment horizontal="center"/>
      <protection locked="0"/>
    </xf>
    <xf numFmtId="3" fontId="8" fillId="18" borderId="0" xfId="0" applyNumberFormat="1" applyFont="1" applyFill="1" applyAlignment="1" applyProtection="1">
      <alignment horizontal="center"/>
      <protection locked="0"/>
    </xf>
    <xf numFmtId="9" fontId="8" fillId="18" borderId="0" xfId="0" applyNumberFormat="1" applyFont="1" applyFill="1" applyAlignment="1" applyProtection="1">
      <alignment horizontal="center"/>
      <protection locked="0"/>
    </xf>
    <xf numFmtId="0" fontId="8" fillId="18" borderId="0" xfId="0" applyFont="1" applyFill="1" applyAlignment="1" applyProtection="1">
      <alignment horizontal="center"/>
      <protection locked="0"/>
    </xf>
    <xf numFmtId="165" fontId="8" fillId="18" borderId="42" xfId="0" applyNumberFormat="1" applyFont="1" applyFill="1" applyBorder="1" applyAlignment="1" applyProtection="1">
      <alignment horizontal="center"/>
      <protection locked="0"/>
    </xf>
    <xf numFmtId="166" fontId="11" fillId="18" borderId="43" xfId="0" applyNumberFormat="1" applyFont="1" applyFill="1" applyBorder="1" applyAlignment="1" applyProtection="1">
      <alignment horizontal="center"/>
      <protection locked="0"/>
    </xf>
    <xf numFmtId="2" fontId="8" fillId="18" borderId="42" xfId="0" applyNumberFormat="1" applyFont="1" applyFill="1" applyBorder="1" applyAlignment="1" applyProtection="1">
      <alignment horizontal="center"/>
      <protection locked="0"/>
    </xf>
    <xf numFmtId="0" fontId="0" fillId="18" borderId="42" xfId="0" applyFill="1" applyBorder="1" applyProtection="1">
      <protection locked="0"/>
    </xf>
    <xf numFmtId="3" fontId="60" fillId="31" borderId="43" xfId="0" applyNumberFormat="1" applyFont="1" applyFill="1" applyBorder="1" applyAlignment="1">
      <alignment horizontal="right"/>
    </xf>
    <xf numFmtId="3" fontId="60" fillId="31" borderId="0" xfId="0" applyNumberFormat="1" applyFont="1" applyFill="1" applyAlignment="1">
      <alignment horizontal="left"/>
    </xf>
    <xf numFmtId="0" fontId="3" fillId="0" borderId="0" xfId="1" applyAlignment="1">
      <alignment horizontal="left" indent="1"/>
    </xf>
    <xf numFmtId="0" fontId="17" fillId="0" borderId="0" xfId="1" applyFont="1" applyAlignment="1">
      <alignment horizontal="left"/>
    </xf>
    <xf numFmtId="0" fontId="11" fillId="24" borderId="3" xfId="0" applyFont="1" applyFill="1" applyBorder="1" applyAlignment="1">
      <alignment horizontal="left" vertical="center"/>
    </xf>
    <xf numFmtId="0" fontId="74" fillId="24" borderId="39" xfId="0" applyFont="1" applyFill="1" applyBorder="1" applyAlignment="1">
      <alignment horizontal="left" vertical="center"/>
    </xf>
    <xf numFmtId="0" fontId="74" fillId="24" borderId="72" xfId="0" applyFont="1" applyFill="1" applyBorder="1" applyAlignment="1">
      <alignment horizontal="left" vertical="center"/>
    </xf>
    <xf numFmtId="0" fontId="13" fillId="24" borderId="3" xfId="0" applyFont="1" applyFill="1" applyBorder="1" applyAlignment="1">
      <alignment horizontal="left" vertical="center"/>
    </xf>
    <xf numFmtId="0" fontId="13" fillId="24" borderId="39" xfId="0" applyFont="1" applyFill="1" applyBorder="1" applyAlignment="1">
      <alignment horizontal="left" vertical="center"/>
    </xf>
    <xf numFmtId="0" fontId="13" fillId="24" borderId="72" xfId="0" applyFont="1" applyFill="1" applyBorder="1" applyAlignment="1">
      <alignment horizontal="left" vertical="center"/>
    </xf>
    <xf numFmtId="0" fontId="11" fillId="24" borderId="39" xfId="0" applyFont="1" applyFill="1" applyBorder="1" applyAlignment="1">
      <alignment horizontal="left" vertical="center"/>
    </xf>
    <xf numFmtId="0" fontId="11" fillId="24" borderId="72" xfId="0" applyFont="1" applyFill="1" applyBorder="1" applyAlignment="1">
      <alignment horizontal="left" vertical="center"/>
    </xf>
    <xf numFmtId="0" fontId="14" fillId="5" borderId="32" xfId="0" applyFont="1" applyFill="1" applyBorder="1" applyAlignment="1">
      <alignment horizontal="left" vertical="center" wrapText="1"/>
    </xf>
    <xf numFmtId="0" fontId="14" fillId="5" borderId="33" xfId="0" applyFont="1" applyFill="1" applyBorder="1" applyAlignment="1">
      <alignment horizontal="left" vertical="center" wrapText="1"/>
    </xf>
    <xf numFmtId="0" fontId="14" fillId="5" borderId="34" xfId="0" applyFont="1" applyFill="1" applyBorder="1" applyAlignment="1">
      <alignment horizontal="left" vertical="center" wrapText="1"/>
    </xf>
    <xf numFmtId="0" fontId="14" fillId="10" borderId="32" xfId="0" applyFont="1" applyFill="1" applyBorder="1" applyAlignment="1">
      <alignment horizontal="left" vertical="center" wrapText="1"/>
    </xf>
    <xf numFmtId="0" fontId="14" fillId="10" borderId="33" xfId="0" applyFont="1" applyFill="1" applyBorder="1" applyAlignment="1">
      <alignment horizontal="left" vertical="center" wrapText="1"/>
    </xf>
    <xf numFmtId="0" fontId="14" fillId="10" borderId="34" xfId="0" applyFont="1" applyFill="1" applyBorder="1" applyAlignment="1">
      <alignment horizontal="left" vertical="center" wrapText="1"/>
    </xf>
    <xf numFmtId="0" fontId="14" fillId="24" borderId="39" xfId="0" applyFont="1" applyFill="1" applyBorder="1" applyAlignment="1">
      <alignment horizontal="left" vertical="center"/>
    </xf>
    <xf numFmtId="0" fontId="14" fillId="24" borderId="72" xfId="0" applyFont="1" applyFill="1" applyBorder="1" applyAlignment="1">
      <alignment horizontal="left" vertical="center"/>
    </xf>
    <xf numFmtId="0" fontId="77" fillId="0" borderId="49" xfId="0" applyFont="1" applyBorder="1" applyAlignment="1">
      <alignment horizontal="center"/>
    </xf>
    <xf numFmtId="0" fontId="77" fillId="0" borderId="50" xfId="0" applyFont="1" applyBorder="1" applyAlignment="1">
      <alignment horizontal="center"/>
    </xf>
    <xf numFmtId="0" fontId="77" fillId="0" borderId="57" xfId="0" applyFont="1" applyBorder="1" applyAlignment="1">
      <alignment horizontal="center"/>
    </xf>
    <xf numFmtId="0" fontId="1" fillId="0" borderId="0" xfId="0" applyFont="1" applyAlignment="1">
      <alignment horizontal="center"/>
    </xf>
    <xf numFmtId="0" fontId="52" fillId="0" borderId="17" xfId="0" applyFont="1" applyBorder="1" applyAlignment="1">
      <alignment horizontal="left" vertical="top" wrapText="1" indent="2"/>
    </xf>
    <xf numFmtId="0" fontId="52" fillId="0" borderId="19" xfId="0" applyFont="1" applyBorder="1" applyAlignment="1">
      <alignment horizontal="left" vertical="top" wrapText="1" indent="2"/>
    </xf>
    <xf numFmtId="0" fontId="52" fillId="0" borderId="21" xfId="0" applyFont="1" applyBorder="1" applyAlignment="1">
      <alignment horizontal="left" vertical="top" wrapText="1" indent="2"/>
    </xf>
    <xf numFmtId="0" fontId="52" fillId="0" borderId="21" xfId="0" applyFont="1" applyBorder="1" applyAlignment="1">
      <alignment horizontal="left" vertical="top" wrapText="1" indent="4"/>
    </xf>
    <xf numFmtId="0" fontId="52" fillId="0" borderId="17" xfId="0" applyFont="1" applyBorder="1" applyAlignment="1">
      <alignment horizontal="left" vertical="top" wrapText="1" indent="4"/>
    </xf>
    <xf numFmtId="0" fontId="51" fillId="23" borderId="25" xfId="0" applyFont="1" applyFill="1" applyBorder="1" applyAlignment="1">
      <alignment horizontal="left" wrapText="1"/>
    </xf>
    <xf numFmtId="0" fontId="52" fillId="0" borderId="17" xfId="0" applyFont="1" applyBorder="1" applyAlignment="1">
      <alignment horizontal="center" vertical="top" wrapText="1"/>
    </xf>
    <xf numFmtId="0" fontId="52" fillId="0" borderId="19" xfId="0" applyFont="1" applyBorder="1" applyAlignment="1">
      <alignment horizontal="center" vertical="top" wrapText="1"/>
    </xf>
    <xf numFmtId="0" fontId="52" fillId="0" borderId="21" xfId="0" applyFont="1" applyBorder="1" applyAlignment="1">
      <alignment horizontal="center" vertical="top" wrapText="1"/>
    </xf>
    <xf numFmtId="0" fontId="109" fillId="22" borderId="0" xfId="0" applyFont="1" applyFill="1" applyAlignment="1">
      <alignment horizontal="center"/>
    </xf>
    <xf numFmtId="0" fontId="109" fillId="6" borderId="18" xfId="0" applyFont="1" applyFill="1" applyBorder="1" applyAlignment="1">
      <alignment horizontal="center"/>
    </xf>
    <xf numFmtId="0" fontId="35" fillId="20" borderId="8" xfId="0" applyFont="1" applyFill="1" applyBorder="1" applyAlignment="1">
      <alignment horizontal="center" vertical="top"/>
    </xf>
    <xf numFmtId="0" fontId="35" fillId="20" borderId="9" xfId="0" applyFont="1" applyFill="1" applyBorder="1" applyAlignment="1">
      <alignment horizontal="center" vertical="top"/>
    </xf>
    <xf numFmtId="0" fontId="26" fillId="20" borderId="8" xfId="0" applyFont="1" applyFill="1" applyBorder="1" applyAlignment="1">
      <alignment horizontal="center" vertical="top" wrapText="1"/>
    </xf>
    <xf numFmtId="0" fontId="26" fillId="20" borderId="9" xfId="0" applyFont="1" applyFill="1" applyBorder="1" applyAlignment="1">
      <alignment horizontal="center" vertical="top" wrapText="1"/>
    </xf>
    <xf numFmtId="0" fontId="109" fillId="20" borderId="8" xfId="0" applyFont="1" applyFill="1" applyBorder="1" applyAlignment="1">
      <alignment horizontal="center" vertical="top" wrapText="1"/>
    </xf>
    <xf numFmtId="0" fontId="109" fillId="20" borderId="9" xfId="0" applyFont="1" applyFill="1" applyBorder="1" applyAlignment="1">
      <alignment horizontal="center" vertical="top" wrapText="1"/>
    </xf>
    <xf numFmtId="0" fontId="113" fillId="20" borderId="8" xfId="0" applyFont="1" applyFill="1" applyBorder="1" applyAlignment="1">
      <alignment horizontal="center" vertical="top"/>
    </xf>
    <xf numFmtId="0" fontId="113" fillId="20" borderId="9" xfId="0" applyFont="1" applyFill="1" applyBorder="1" applyAlignment="1">
      <alignment horizontal="center" vertical="top"/>
    </xf>
    <xf numFmtId="0" fontId="109" fillId="20" borderId="8" xfId="0" applyFont="1" applyFill="1" applyBorder="1" applyAlignment="1">
      <alignment horizontal="center" vertical="top"/>
    </xf>
    <xf numFmtId="0" fontId="109" fillId="20" borderId="9" xfId="0" applyFont="1" applyFill="1" applyBorder="1" applyAlignment="1">
      <alignment horizontal="center" vertical="top"/>
    </xf>
    <xf numFmtId="0" fontId="107" fillId="20" borderId="8" xfId="0" applyFont="1" applyFill="1" applyBorder="1" applyAlignment="1">
      <alignment horizontal="center" vertical="top" wrapText="1"/>
    </xf>
    <xf numFmtId="0" fontId="107" fillId="20" borderId="9" xfId="0" applyFont="1" applyFill="1" applyBorder="1" applyAlignment="1">
      <alignment horizontal="center" vertical="top" wrapText="1"/>
    </xf>
    <xf numFmtId="0" fontId="11" fillId="20" borderId="5" xfId="0" applyFont="1" applyFill="1" applyBorder="1" applyAlignment="1">
      <alignment horizontal="center"/>
    </xf>
    <xf numFmtId="0" fontId="26" fillId="20" borderId="8" xfId="0" applyFont="1" applyFill="1" applyBorder="1" applyAlignment="1">
      <alignment horizontal="center" vertical="top"/>
    </xf>
    <xf numFmtId="0" fontId="26" fillId="20" borderId="9" xfId="0" applyFont="1" applyFill="1" applyBorder="1" applyAlignment="1">
      <alignment horizontal="center" vertical="top"/>
    </xf>
    <xf numFmtId="0" fontId="61" fillId="30" borderId="0" xfId="0" applyFont="1" applyFill="1" applyAlignment="1">
      <alignment horizontal="left" vertical="center" wrapText="1"/>
    </xf>
    <xf numFmtId="0" fontId="76" fillId="30" borderId="0" xfId="0" applyFont="1" applyFill="1" applyAlignment="1">
      <alignment horizontal="center"/>
    </xf>
    <xf numFmtId="0" fontId="61" fillId="30" borderId="0" xfId="0" applyFont="1" applyFill="1" applyAlignment="1">
      <alignment horizontal="center" vertical="center" wrapText="1"/>
    </xf>
    <xf numFmtId="0" fontId="62" fillId="16" borderId="0" xfId="0" applyFont="1" applyFill="1" applyAlignment="1">
      <alignment horizontal="left" vertical="center" wrapText="1"/>
    </xf>
    <xf numFmtId="0" fontId="18" fillId="16" borderId="0" xfId="0" applyFont="1" applyFill="1" applyAlignment="1">
      <alignment horizontal="left" vertical="center" wrapText="1"/>
    </xf>
    <xf numFmtId="0" fontId="18" fillId="16" borderId="0" xfId="0" applyFont="1" applyFill="1" applyAlignment="1">
      <alignment horizontal="center" vertical="center" wrapText="1"/>
    </xf>
    <xf numFmtId="0" fontId="0" fillId="0" borderId="0" xfId="0" applyFont="1"/>
    <xf numFmtId="0" fontId="11" fillId="0" borderId="41" xfId="0" applyFont="1" applyBorder="1" applyAlignment="1">
      <alignment horizontal="left" vertical="top" wrapText="1"/>
    </xf>
    <xf numFmtId="3" fontId="11" fillId="0" borderId="42" xfId="0" applyNumberFormat="1" applyFont="1" applyBorder="1" applyAlignment="1">
      <alignment horizontal="right" vertical="top" shrinkToFit="1"/>
    </xf>
    <xf numFmtId="3" fontId="11" fillId="0" borderId="43" xfId="0" applyNumberFormat="1" applyFont="1" applyBorder="1" applyAlignment="1">
      <alignment horizontal="right" vertical="top" shrinkToFit="1"/>
    </xf>
    <xf numFmtId="3" fontId="11" fillId="0" borderId="0" xfId="0" applyNumberFormat="1" applyFont="1" applyAlignment="1">
      <alignment horizontal="right" vertical="top" shrinkToFit="1"/>
    </xf>
    <xf numFmtId="0" fontId="24" fillId="0" borderId="41" xfId="0" applyFont="1" applyBorder="1" applyAlignment="1">
      <alignment horizontal="left" vertical="top" wrapText="1"/>
    </xf>
    <xf numFmtId="3" fontId="24" fillId="0" borderId="42" xfId="0" applyNumberFormat="1" applyFont="1" applyBorder="1" applyAlignment="1">
      <alignment horizontal="right" vertical="top" shrinkToFit="1"/>
    </xf>
    <xf numFmtId="3" fontId="24" fillId="0" borderId="43" xfId="0" applyNumberFormat="1" applyFont="1" applyBorder="1" applyAlignment="1">
      <alignment horizontal="right" vertical="top" shrinkToFit="1"/>
    </xf>
    <xf numFmtId="3" fontId="24" fillId="0" borderId="0" xfId="0" applyNumberFormat="1" applyFont="1" applyAlignment="1">
      <alignment horizontal="right" vertical="top" shrinkToFit="1"/>
    </xf>
    <xf numFmtId="0" fontId="11" fillId="31" borderId="41" xfId="0" applyFont="1" applyFill="1" applyBorder="1" applyAlignment="1">
      <alignment horizontal="left" vertical="top" wrapText="1"/>
    </xf>
    <xf numFmtId="3" fontId="11" fillId="31" borderId="42" xfId="0" applyNumberFormat="1" applyFont="1" applyFill="1" applyBorder="1" applyAlignment="1">
      <alignment horizontal="right" vertical="top" shrinkToFit="1"/>
    </xf>
    <xf numFmtId="3" fontId="11" fillId="31" borderId="43" xfId="0" applyNumberFormat="1" applyFont="1" applyFill="1" applyBorder="1" applyAlignment="1">
      <alignment horizontal="right" vertical="top" shrinkToFit="1"/>
    </xf>
    <xf numFmtId="3" fontId="11" fillId="31" borderId="0" xfId="0" applyNumberFormat="1" applyFont="1" applyFill="1" applyAlignment="1">
      <alignment horizontal="right" vertical="top" shrinkToFit="1"/>
    </xf>
    <xf numFmtId="0" fontId="24" fillId="31" borderId="41" xfId="0" applyFont="1" applyFill="1" applyBorder="1" applyAlignment="1">
      <alignment horizontal="left" vertical="top" wrapText="1"/>
    </xf>
    <xf numFmtId="3" fontId="24" fillId="31" borderId="42" xfId="0" applyNumberFormat="1" applyFont="1" applyFill="1" applyBorder="1" applyAlignment="1">
      <alignment horizontal="right" vertical="top" shrinkToFit="1"/>
    </xf>
    <xf numFmtId="3" fontId="24" fillId="31" borderId="43" xfId="0" applyNumberFormat="1" applyFont="1" applyFill="1" applyBorder="1" applyAlignment="1">
      <alignment horizontal="right" vertical="top" shrinkToFit="1"/>
    </xf>
    <xf numFmtId="3" fontId="24" fillId="31" borderId="0" xfId="0" applyNumberFormat="1" applyFont="1" applyFill="1" applyAlignment="1">
      <alignment horizontal="right" vertical="top" shrinkToFit="1"/>
    </xf>
    <xf numFmtId="3" fontId="11" fillId="31" borderId="41" xfId="0" applyNumberFormat="1" applyFont="1" applyFill="1" applyBorder="1" applyAlignment="1">
      <alignment horizontal="left" vertical="top" shrinkToFit="1"/>
    </xf>
    <xf numFmtId="0" fontId="22" fillId="0" borderId="0" xfId="0" applyFont="1" applyAlignment="1">
      <alignment horizontal="left" wrapText="1"/>
    </xf>
    <xf numFmtId="3" fontId="76" fillId="30" borderId="41" xfId="0" applyNumberFormat="1" applyFont="1" applyFill="1" applyBorder="1" applyAlignment="1">
      <alignment horizontal="right" vertical="top" shrinkToFit="1"/>
    </xf>
    <xf numFmtId="3" fontId="76" fillId="30" borderId="42" xfId="0" applyNumberFormat="1" applyFont="1" applyFill="1" applyBorder="1" applyAlignment="1">
      <alignment horizontal="right" vertical="top" shrinkToFit="1"/>
    </xf>
    <xf numFmtId="3" fontId="76" fillId="30" borderId="42" xfId="0" applyNumberFormat="1" applyFont="1" applyFill="1" applyBorder="1" applyAlignment="1">
      <alignment horizontal="right" vertical="top" wrapText="1" shrinkToFit="1"/>
    </xf>
    <xf numFmtId="0" fontId="2" fillId="0" borderId="0" xfId="0" applyFont="1"/>
    <xf numFmtId="3" fontId="76" fillId="30" borderId="0" xfId="0" applyNumberFormat="1" applyFont="1" applyFill="1" applyAlignment="1">
      <alignment horizontal="right" vertical="top" wrapText="1" shrinkToFit="1"/>
    </xf>
    <xf numFmtId="0" fontId="77" fillId="2" borderId="37" xfId="0" applyFont="1" applyFill="1" applyBorder="1" applyAlignment="1">
      <alignment horizontal="center"/>
    </xf>
  </cellXfs>
  <cellStyles count="5">
    <cellStyle name="Comma" xfId="4" builtinId="3"/>
    <cellStyle name="Hyperlink" xfId="1" builtinId="8"/>
    <cellStyle name="Normal" xfId="0" builtinId="0"/>
    <cellStyle name="Normal 250" xfId="3" xr:uid="{725C1250-F13E-4272-AE41-9905BCBEC3CE}"/>
    <cellStyle name="Percent" xfId="2" builtinId="5"/>
  </cellStyles>
  <dxfs count="89">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ont>
        <color theme="2" tint="-0.89996032593768116"/>
      </font>
      <fill>
        <patternFill>
          <bgColor theme="4" tint="0.79998168889431442"/>
        </patternFill>
      </fill>
    </dxf>
    <dxf>
      <font>
        <color auto="1"/>
      </font>
      <fill>
        <patternFill>
          <bgColor theme="9" tint="0.59996337778862885"/>
        </patternFill>
      </fill>
    </dxf>
    <dxf>
      <font>
        <color theme="0"/>
      </font>
      <fill>
        <patternFill>
          <bgColor theme="9"/>
        </patternFill>
      </fill>
    </dxf>
    <dxf>
      <fill>
        <patternFill>
          <bgColor theme="9" tint="-0.24994659260841701"/>
        </patternFill>
      </fill>
    </dxf>
    <dxf>
      <fill>
        <patternFill>
          <bgColor theme="9"/>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patternType="none">
          <fgColor indexed="64"/>
          <bgColor auto="1"/>
        </patternFill>
      </fill>
      <border diagonalUp="0" diagonalDown="0">
        <left style="thin">
          <color rgb="FFFFC857"/>
        </left>
        <right/>
        <top/>
        <bottom/>
        <vertical style="thin">
          <color rgb="FFFFC857"/>
        </vertical>
        <horizontal/>
      </border>
    </dxf>
    <dxf>
      <font>
        <b val="0"/>
        <i val="0"/>
        <strike val="0"/>
        <condense val="0"/>
        <extend val="0"/>
        <outline val="0"/>
        <shadow val="0"/>
        <u val="none"/>
        <vertAlign val="baseline"/>
        <sz val="10"/>
        <color theme="1"/>
        <name val="Aptos Narrow"/>
        <family val="2"/>
        <scheme val="minor"/>
      </font>
      <fill>
        <patternFill patternType="solid">
          <fgColor theme="4" tint="0.79998168889431442"/>
          <bgColor theme="4" tint="0.79998168889431442"/>
        </patternFill>
      </fill>
      <alignment horizontal="left" vertical="bottom" textRotation="0" wrapText="0" indent="0" justifyLastLine="0" shrinkToFit="0" readingOrder="0"/>
      <border diagonalUp="0" diagonalDown="0">
        <left/>
        <right style="thin">
          <color rgb="FFFFC857"/>
        </right>
        <top/>
        <bottom/>
        <vertical style="thin">
          <color rgb="FFFFC857"/>
        </vertical>
        <horizontal/>
      </border>
    </dxf>
    <dxf>
      <font>
        <strike val="0"/>
        <outline val="0"/>
        <shadow val="0"/>
        <u val="none"/>
        <vertAlign val="baseline"/>
        <sz val="11"/>
        <color theme="0"/>
        <name val="Aptos Narrow"/>
        <family val="2"/>
        <scheme val="minor"/>
      </font>
      <fill>
        <patternFill patternType="solid">
          <fgColor theme="4"/>
          <bgColor rgb="FF000C8D"/>
        </patternFill>
      </fill>
      <border diagonalUp="0" diagonalDown="0">
        <left style="thin">
          <color rgb="FFFFC857"/>
        </left>
        <right style="thin">
          <color rgb="FFFFC857"/>
        </right>
        <top/>
        <bottom/>
        <vertical style="thin">
          <color rgb="FFFFC857"/>
        </vertical>
        <horizontal/>
      </border>
    </dxf>
  </dxfs>
  <tableStyles count="0" defaultTableStyle="TableStyleMedium2" defaultPivotStyle="PivotStyleLight16"/>
  <colors>
    <mruColors>
      <color rgb="FFFAF5E9"/>
      <color rgb="FFFFC857"/>
      <color rgb="FF000C8D"/>
      <color rgb="FFCAEDFB"/>
      <color rgb="FFFFFFCC"/>
      <color rgb="FFE64D00"/>
      <color rgb="FFACB2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sheetMetadata" Target="metadata.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Structure" Target="richData/rdrichvaluestructure.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22/10/relationships/richValueRel" Target="richData/richValueRel.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SISENDID!$C$284</c:f>
              <c:strCache>
                <c:ptCount val="1"/>
                <c:pt idx="0">
                  <c:v>2021 tegelik</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900" b="0" i="0" u="none" strike="noStrike" kern="1200" baseline="0">
                    <a:solidFill>
                      <a:sysClr val="windowText" lastClr="000000"/>
                    </a:solidFill>
                    <a:latin typeface="Poppins" panose="00000500000000000000" pitchFamily="2" charset="-70"/>
                    <a:ea typeface="+mn-ea"/>
                    <a:cs typeface="Poppins" panose="00000500000000000000" pitchFamily="2" charset="-70"/>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SISENDID!$B$285:$B$288</c:f>
            </c:strRef>
          </c:cat>
          <c:val>
            <c:numRef>
              <c:f>SISENDID!$C$285:$C$288</c:f>
            </c:numRef>
          </c:val>
          <c:extLst>
            <c:ext xmlns:c16="http://schemas.microsoft.com/office/drawing/2014/chart" uri="{C3380CC4-5D6E-409C-BE32-E72D297353CC}">
              <c16:uniqueId val="{00000000-A416-42A6-BBBA-5FB8DF3E8459}"/>
            </c:ext>
          </c:extLst>
        </c:ser>
        <c:ser>
          <c:idx val="1"/>
          <c:order val="1"/>
          <c:tx>
            <c:strRef>
              <c:f>SISENDID!$D$284</c:f>
              <c:strCache>
                <c:ptCount val="1"/>
                <c:pt idx="0">
                  <c:v>2050 meetmetega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900" b="0" i="0" u="none" strike="noStrike" kern="1200" baseline="0">
                    <a:solidFill>
                      <a:sysClr val="windowText" lastClr="000000"/>
                    </a:solidFill>
                    <a:latin typeface="Poppins" panose="00000500000000000000" pitchFamily="2" charset="-70"/>
                    <a:ea typeface="+mn-ea"/>
                    <a:cs typeface="Poppins" panose="00000500000000000000" pitchFamily="2" charset="-70"/>
                  </a:defRPr>
                </a:pPr>
                <a:endParaRPr lang="et-E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SISENDID!$B$285:$B$288</c:f>
            </c:strRef>
          </c:cat>
          <c:val>
            <c:numRef>
              <c:f>SISENDID!$D$285:$D$288</c:f>
            </c:numRef>
          </c:val>
          <c:extLst>
            <c:ext xmlns:c16="http://schemas.microsoft.com/office/drawing/2014/chart" uri="{C3380CC4-5D6E-409C-BE32-E72D297353CC}">
              <c16:uniqueId val="{00000001-A416-42A6-BBBA-5FB8DF3E8459}"/>
            </c:ext>
          </c:extLst>
        </c:ser>
        <c:dLbls>
          <c:dLblPos val="outEnd"/>
          <c:showLegendKey val="0"/>
          <c:showVal val="1"/>
          <c:showCatName val="0"/>
          <c:showSerName val="0"/>
          <c:showPercent val="0"/>
          <c:showBubbleSize val="0"/>
        </c:dLbls>
        <c:gapWidth val="444"/>
        <c:overlap val="-90"/>
        <c:axId val="936507903"/>
        <c:axId val="936511743"/>
      </c:barChart>
      <c:catAx>
        <c:axId val="936507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ysClr val="windowText" lastClr="000000"/>
                </a:solidFill>
                <a:latin typeface="Poppins" panose="00000500000000000000" pitchFamily="2" charset="-70"/>
                <a:ea typeface="+mn-ea"/>
                <a:cs typeface="Poppins" panose="00000500000000000000" pitchFamily="2" charset="-70"/>
              </a:defRPr>
            </a:pPr>
            <a:endParaRPr lang="et-EE"/>
          </a:p>
        </c:txPr>
        <c:crossAx val="936511743"/>
        <c:crosses val="autoZero"/>
        <c:auto val="1"/>
        <c:lblAlgn val="ctr"/>
        <c:lblOffset val="100"/>
        <c:noMultiLvlLbl val="0"/>
      </c:catAx>
      <c:valAx>
        <c:axId val="936511743"/>
        <c:scaling>
          <c:orientation val="minMax"/>
        </c:scaling>
        <c:delete val="1"/>
        <c:axPos val="l"/>
        <c:numFmt formatCode="0.0%" sourceLinked="1"/>
        <c:majorTickMark val="none"/>
        <c:minorTickMark val="none"/>
        <c:tickLblPos val="nextTo"/>
        <c:crossAx val="9365079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Poppins" panose="00000500000000000000" pitchFamily="2" charset="-70"/>
              <a:ea typeface="+mn-ea"/>
              <a:cs typeface="Poppins" panose="00000500000000000000" pitchFamily="2" charset="-70"/>
            </a:defRPr>
          </a:pPr>
          <a:endParaRPr lang="et-EE"/>
        </a:p>
      </c:txPr>
    </c:legend>
    <c:plotVisOnly val="1"/>
    <c:dispBlanksAs val="gap"/>
    <c:showDLblsOverMax val="0"/>
  </c:chart>
  <c:spPr>
    <a:solidFill>
      <a:schemeClr val="lt1"/>
    </a:solidFill>
    <a:ln w="9525" cap="flat" cmpd="sng" algn="ctr">
      <a:solidFill>
        <a:schemeClr val="bg1"/>
      </a:solidFill>
      <a:round/>
    </a:ln>
    <a:effectLst/>
  </c:spPr>
  <c:txPr>
    <a:bodyPr/>
    <a:lstStyle/>
    <a:p>
      <a:pPr>
        <a:defRPr/>
      </a:pPr>
      <a:endParaRPr lang="et-E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190500</xdr:colOff>
      <xdr:row>96</xdr:row>
      <xdr:rowOff>161925</xdr:rowOff>
    </xdr:from>
    <xdr:to>
      <xdr:col>8</xdr:col>
      <xdr:colOff>19050</xdr:colOff>
      <xdr:row>103</xdr:row>
      <xdr:rowOff>133350</xdr:rowOff>
    </xdr:to>
    <xdr:sp macro="" textlink="">
      <xdr:nvSpPr>
        <xdr:cNvPr id="7" name="TextBox 6">
          <a:extLst>
            <a:ext uri="{FF2B5EF4-FFF2-40B4-BE49-F238E27FC236}">
              <a16:creationId xmlns:a16="http://schemas.microsoft.com/office/drawing/2014/main" id="{1A50AE07-1D5C-6932-7037-9B3AE02CBD03}"/>
            </a:ext>
          </a:extLst>
        </xdr:cNvPr>
        <xdr:cNvSpPr txBox="1"/>
      </xdr:nvSpPr>
      <xdr:spPr>
        <a:xfrm>
          <a:off x="447675" y="10125075"/>
          <a:ext cx="7334250" cy="1304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t-EE" sz="1100" b="1" i="0" u="none" strike="noStrike" baseline="0">
              <a:solidFill>
                <a:schemeClr val="dk1"/>
              </a:solidFill>
              <a:latin typeface="+mn-lt"/>
              <a:ea typeface="+mn-ea"/>
              <a:cs typeface="+mn-cs"/>
            </a:rPr>
            <a:t>Avaliku sektori hoonete </a:t>
          </a:r>
          <a:r>
            <a:rPr lang="et-EE" sz="1100" b="0" i="0" u="none" strike="noStrike" baseline="0">
              <a:solidFill>
                <a:schemeClr val="dk1"/>
              </a:solidFill>
              <a:latin typeface="+mn-lt"/>
              <a:ea typeface="+mn-ea"/>
              <a:cs typeface="+mn-cs"/>
            </a:rPr>
            <a:t>rekonstrueerimise maksumuste aluseks on keskvalitsuse hoonete energiatõhususe toetusmeetme 2019. aasta toetusvooru andmed. Rekonstrueerimise maksumused on vahemikus 700…2000 €/m</a:t>
          </a:r>
          <a:r>
            <a:rPr lang="et-EE" sz="1100" b="0" i="0" u="none" strike="noStrike" baseline="30000">
              <a:solidFill>
                <a:schemeClr val="dk1"/>
              </a:solidFill>
              <a:latin typeface="+mn-lt"/>
              <a:ea typeface="+mn-ea"/>
              <a:cs typeface="+mn-cs"/>
            </a:rPr>
            <a:t>2</a:t>
          </a:r>
          <a:r>
            <a:rPr lang="et-EE" sz="1100" b="0" i="0" u="none" strike="noStrike" baseline="0">
              <a:solidFill>
                <a:schemeClr val="dk1"/>
              </a:solidFill>
              <a:latin typeface="+mn-lt"/>
              <a:ea typeface="+mn-ea"/>
              <a:cs typeface="+mn-cs"/>
            </a:rPr>
            <a:t> (koos käibemaksuga).  Kõrgema rekonstrueerimise maksumusega  projektid  sisaldavad  lisaks  olemasoleva  hoone rekonstrueerimisele  ka  juurdeehitusi.  Ilma  juurdeehitusteta rekonstrueerimiste keskmine maksumus on </a:t>
          </a:r>
          <a:r>
            <a:rPr lang="et-EE" sz="1100" b="1" i="0" u="none" strike="noStrike" baseline="0">
              <a:solidFill>
                <a:schemeClr val="dk1"/>
              </a:solidFill>
              <a:latin typeface="+mn-lt"/>
              <a:ea typeface="+mn-ea"/>
              <a:cs typeface="+mn-cs"/>
            </a:rPr>
            <a:t>~1100 €/m</a:t>
          </a:r>
          <a:r>
            <a:rPr lang="et-EE" sz="1100" b="1" i="0" u="none" strike="noStrike" baseline="30000">
              <a:solidFill>
                <a:schemeClr val="dk1"/>
              </a:solidFill>
              <a:latin typeface="+mn-lt"/>
              <a:ea typeface="+mn-ea"/>
              <a:cs typeface="+mn-cs"/>
            </a:rPr>
            <a:t>2</a:t>
          </a:r>
          <a:r>
            <a:rPr lang="et-EE" sz="1100" b="0" i="0" u="none" strike="noStrike" baseline="0">
              <a:solidFill>
                <a:schemeClr val="dk1"/>
              </a:solidFill>
              <a:latin typeface="+mn-lt"/>
              <a:ea typeface="+mn-ea"/>
              <a:cs typeface="+mn-cs"/>
            </a:rPr>
            <a:t>, millest </a:t>
          </a:r>
          <a:r>
            <a:rPr lang="et-EE" sz="1100" b="1" i="0" u="none" strike="noStrike" baseline="0">
              <a:solidFill>
                <a:schemeClr val="dk1"/>
              </a:solidFill>
              <a:latin typeface="+mn-lt"/>
              <a:ea typeface="+mn-ea"/>
              <a:cs typeface="+mn-cs"/>
            </a:rPr>
            <a:t>energiasäästuga   seotud   tööd   moodustavad   ~600   €/m</a:t>
          </a:r>
          <a:r>
            <a:rPr lang="et-EE" sz="1100" b="1" i="0" u="none" strike="noStrike" baseline="30000">
              <a:solidFill>
                <a:schemeClr val="dk1"/>
              </a:solidFill>
              <a:latin typeface="+mn-lt"/>
              <a:ea typeface="+mn-ea"/>
              <a:cs typeface="+mn-cs"/>
            </a:rPr>
            <a:t>2</a:t>
          </a:r>
          <a:r>
            <a:rPr lang="et-EE" sz="1100" b="0" i="0" u="none" strike="noStrike" baseline="0">
              <a:solidFill>
                <a:schemeClr val="dk1"/>
              </a:solidFill>
              <a:latin typeface="+mn-lt"/>
              <a:ea typeface="+mn-ea"/>
              <a:cs typeface="+mn-cs"/>
            </a:rPr>
            <a:t>. Rekonstrueerimisel  teostatud  energiasäästu  tööde  ja  mitte energiasäästu tööde maksumused on näidatud järgneval joonisel.</a:t>
          </a:r>
        </a:p>
        <a:p>
          <a:r>
            <a:rPr lang="et-EE" sz="1100" b="0" i="0" u="none" strike="noStrike" baseline="0">
              <a:solidFill>
                <a:schemeClr val="dk1"/>
              </a:solidFill>
              <a:latin typeface="+mn-lt"/>
              <a:ea typeface="+mn-ea"/>
              <a:cs typeface="+mn-cs"/>
            </a:rPr>
            <a:t>NB! Rekonstrueerimise  maksumuste  andmed  põhinevad  aastate 2015…2019 andmetel. st keskmine </a:t>
          </a:r>
          <a:r>
            <a:rPr lang="et-EE" sz="1100" b="1" i="0" u="none" strike="noStrike" baseline="0">
              <a:solidFill>
                <a:schemeClr val="dk1"/>
              </a:solidFill>
              <a:latin typeface="+mn-lt"/>
              <a:ea typeface="+mn-ea"/>
              <a:cs typeface="+mn-cs"/>
            </a:rPr>
            <a:t>2017</a:t>
          </a:r>
          <a:r>
            <a:rPr lang="et-EE" sz="1100" b="0" i="0" u="none" strike="noStrike" baseline="0">
              <a:solidFill>
                <a:schemeClr val="dk1"/>
              </a:solidFill>
              <a:latin typeface="+mn-lt"/>
              <a:ea typeface="+mn-ea"/>
              <a:cs typeface="+mn-cs"/>
            </a:rPr>
            <a:t>!</a:t>
          </a:r>
        </a:p>
        <a:p>
          <a:endParaRPr lang="et-EE" sz="1100" b="0" i="1" u="none" strike="noStrike" baseline="0">
            <a:solidFill>
              <a:srgbClr val="FF0000"/>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t-EE" sz="1100" b="0" i="0" u="none" strike="noStrike" baseline="0">
            <a:solidFill>
              <a:schemeClr val="dk1"/>
            </a:solidFill>
            <a:latin typeface="+mn-lt"/>
            <a:ea typeface="+mn-ea"/>
            <a:cs typeface="+mn-cs"/>
          </a:endParaRPr>
        </a:p>
        <a:p>
          <a:endParaRPr lang="et-EE" sz="1100"/>
        </a:p>
      </xdr:txBody>
    </xdr:sp>
    <xdr:clientData/>
  </xdr:twoCellAnchor>
  <xdr:twoCellAnchor>
    <xdr:from>
      <xdr:col>6</xdr:col>
      <xdr:colOff>0</xdr:colOff>
      <xdr:row>165</xdr:row>
      <xdr:rowOff>0</xdr:rowOff>
    </xdr:from>
    <xdr:to>
      <xdr:col>14</xdr:col>
      <xdr:colOff>304800</xdr:colOff>
      <xdr:row>173</xdr:row>
      <xdr:rowOff>9525</xdr:rowOff>
    </xdr:to>
    <xdr:sp macro="" textlink="">
      <xdr:nvSpPr>
        <xdr:cNvPr id="14" name="TextBox 13">
          <a:extLst>
            <a:ext uri="{FF2B5EF4-FFF2-40B4-BE49-F238E27FC236}">
              <a16:creationId xmlns:a16="http://schemas.microsoft.com/office/drawing/2014/main" id="{23519869-B998-4044-AE97-EFBBD36ED242}"/>
            </a:ext>
          </a:extLst>
        </xdr:cNvPr>
        <xdr:cNvSpPr txBox="1"/>
      </xdr:nvSpPr>
      <xdr:spPr>
        <a:xfrm>
          <a:off x="5724525" y="15859125"/>
          <a:ext cx="701992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t-EE" sz="1100" b="1" i="0" u="none" strike="noStrike" baseline="0">
              <a:solidFill>
                <a:schemeClr val="dk1"/>
              </a:solidFill>
              <a:latin typeface="+mn-lt"/>
              <a:ea typeface="+mn-ea"/>
              <a:cs typeface="+mn-cs"/>
            </a:rPr>
            <a:t>Avaliku sektori hoonete </a:t>
          </a:r>
          <a:r>
            <a:rPr lang="et-EE" sz="1100" b="0" i="0" u="none" strike="noStrike" baseline="0">
              <a:solidFill>
                <a:schemeClr val="dk1"/>
              </a:solidFill>
              <a:latin typeface="+mn-lt"/>
              <a:ea typeface="+mn-ea"/>
              <a:cs typeface="+mn-cs"/>
            </a:rPr>
            <a:t>rekonstrueerimise maksumuste aluseks on keskvalitsuse hoonete energiatõhususe toetusmeetme 2019. aasta toetusvooru andmed. Rekonstrueerimise maksumused on vahemikus 700…2000 €/m</a:t>
          </a:r>
          <a:r>
            <a:rPr lang="et-EE" sz="1100" b="0" i="0" u="none" strike="noStrike" baseline="30000">
              <a:solidFill>
                <a:schemeClr val="dk1"/>
              </a:solidFill>
              <a:latin typeface="+mn-lt"/>
              <a:ea typeface="+mn-ea"/>
              <a:cs typeface="+mn-cs"/>
            </a:rPr>
            <a:t>2</a:t>
          </a:r>
          <a:r>
            <a:rPr lang="et-EE" sz="1100" b="0" i="0" u="none" strike="noStrike" baseline="0">
              <a:solidFill>
                <a:schemeClr val="dk1"/>
              </a:solidFill>
              <a:latin typeface="+mn-lt"/>
              <a:ea typeface="+mn-ea"/>
              <a:cs typeface="+mn-cs"/>
            </a:rPr>
            <a:t> (koos käibemaksuga).  Kõrgema rekonstrueerimise maksumusega  projektid  sisaldavad  lisaks  olemasoleva  hoone rekonstrueerimisele  ka  juurdeehitusi.  Ilma  juurdeehitusteta rekonstrueerimiste keskmine maksumus on </a:t>
          </a:r>
          <a:r>
            <a:rPr lang="et-EE" sz="1100" b="1" i="0" u="none" strike="noStrike" baseline="0">
              <a:solidFill>
                <a:schemeClr val="dk1"/>
              </a:solidFill>
              <a:latin typeface="+mn-lt"/>
              <a:ea typeface="+mn-ea"/>
              <a:cs typeface="+mn-cs"/>
            </a:rPr>
            <a:t>~1100 €/m</a:t>
          </a:r>
          <a:r>
            <a:rPr lang="et-EE" sz="1100" b="1" i="0" u="none" strike="noStrike" baseline="30000">
              <a:solidFill>
                <a:schemeClr val="dk1"/>
              </a:solidFill>
              <a:latin typeface="+mn-lt"/>
              <a:ea typeface="+mn-ea"/>
              <a:cs typeface="+mn-cs"/>
            </a:rPr>
            <a:t>2</a:t>
          </a:r>
          <a:r>
            <a:rPr lang="et-EE" sz="1100" b="0" i="0" u="none" strike="noStrike" baseline="0">
              <a:solidFill>
                <a:schemeClr val="dk1"/>
              </a:solidFill>
              <a:latin typeface="+mn-lt"/>
              <a:ea typeface="+mn-ea"/>
              <a:cs typeface="+mn-cs"/>
            </a:rPr>
            <a:t>, millest </a:t>
          </a:r>
          <a:r>
            <a:rPr lang="et-EE" sz="1100" b="1" i="0" u="none" strike="noStrike" baseline="0">
              <a:solidFill>
                <a:schemeClr val="dk1"/>
              </a:solidFill>
              <a:latin typeface="+mn-lt"/>
              <a:ea typeface="+mn-ea"/>
              <a:cs typeface="+mn-cs"/>
            </a:rPr>
            <a:t>energiasäästuga   seotud   tööd   moodustavad   ~600   €/m</a:t>
          </a:r>
          <a:r>
            <a:rPr lang="et-EE" sz="1100" b="1" i="0" u="none" strike="noStrike" baseline="30000">
              <a:solidFill>
                <a:schemeClr val="dk1"/>
              </a:solidFill>
              <a:latin typeface="+mn-lt"/>
              <a:ea typeface="+mn-ea"/>
              <a:cs typeface="+mn-cs"/>
            </a:rPr>
            <a:t>2</a:t>
          </a:r>
          <a:r>
            <a:rPr lang="et-EE" sz="1100" b="0" i="0" u="none" strike="noStrike" baseline="0">
              <a:solidFill>
                <a:schemeClr val="dk1"/>
              </a:solidFill>
              <a:latin typeface="+mn-lt"/>
              <a:ea typeface="+mn-ea"/>
              <a:cs typeface="+mn-cs"/>
            </a:rPr>
            <a:t>. Rekonstrueerimisel  teostatud  energiasäästu  tööde  ja  mitte energiasäästu tööde maksumused on näidatud järgneval joonisel.</a:t>
          </a:r>
        </a:p>
        <a:p>
          <a:r>
            <a:rPr lang="et-EE" sz="1100" b="0" i="0" u="none" strike="noStrike" baseline="0">
              <a:solidFill>
                <a:schemeClr val="dk1"/>
              </a:solidFill>
              <a:latin typeface="+mn-lt"/>
              <a:ea typeface="+mn-ea"/>
              <a:cs typeface="+mn-cs"/>
            </a:rPr>
            <a:t>NB! Rekonstrueerimise  maksumuste  andmed  põhinevad  aastate 2015…2019 andmetel. st keskmine </a:t>
          </a:r>
          <a:r>
            <a:rPr lang="et-EE" sz="1100" b="1" i="0" u="none" strike="noStrike" baseline="0">
              <a:solidFill>
                <a:schemeClr val="dk1"/>
              </a:solidFill>
              <a:latin typeface="+mn-lt"/>
              <a:ea typeface="+mn-ea"/>
              <a:cs typeface="+mn-cs"/>
            </a:rPr>
            <a:t>2017</a:t>
          </a:r>
          <a:r>
            <a:rPr lang="et-EE" sz="1100" b="0" i="0" u="none" strike="noStrike" baseline="0">
              <a:solidFill>
                <a:schemeClr val="dk1"/>
              </a:solidFill>
              <a:latin typeface="+mn-lt"/>
              <a:ea typeface="+mn-ea"/>
              <a:cs typeface="+mn-cs"/>
            </a:rPr>
            <a:t>!</a:t>
          </a:r>
        </a:p>
        <a:p>
          <a:r>
            <a:rPr lang="et-EE" sz="1100" b="0" i="1" u="none" strike="noStrike" baseline="0">
              <a:solidFill>
                <a:schemeClr val="dk1"/>
              </a:solidFill>
              <a:latin typeface="+mn-lt"/>
              <a:ea typeface="+mn-ea"/>
              <a:cs typeface="+mn-cs"/>
            </a:rPr>
            <a:t>Allikas: Hoonete rekonstrueerimise pikaajaline strateegia, 2020, TTÜ</a:t>
          </a:r>
        </a:p>
        <a:p>
          <a:endParaRPr lang="et-EE" sz="1100" b="0" i="1" u="none" strike="noStrike" baseline="0">
            <a:solidFill>
              <a:srgbClr val="FF0000"/>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t-EE" sz="1100" b="0" i="0" u="none" strike="noStrike" baseline="0">
            <a:solidFill>
              <a:schemeClr val="dk1"/>
            </a:solidFill>
            <a:latin typeface="+mn-lt"/>
            <a:ea typeface="+mn-ea"/>
            <a:cs typeface="+mn-cs"/>
          </a:endParaRPr>
        </a:p>
        <a:p>
          <a:endParaRPr lang="et-EE" sz="1100"/>
        </a:p>
      </xdr:txBody>
    </xdr:sp>
    <xdr:clientData/>
  </xdr:twoCellAnchor>
  <xdr:twoCellAnchor>
    <xdr:from>
      <xdr:col>10</xdr:col>
      <xdr:colOff>28576</xdr:colOff>
      <xdr:row>282</xdr:row>
      <xdr:rowOff>171449</xdr:rowOff>
    </xdr:from>
    <xdr:to>
      <xdr:col>17</xdr:col>
      <xdr:colOff>295276</xdr:colOff>
      <xdr:row>289</xdr:row>
      <xdr:rowOff>123824</xdr:rowOff>
    </xdr:to>
    <xdr:sp macro="" textlink="">
      <xdr:nvSpPr>
        <xdr:cNvPr id="2" name="TextBox 1">
          <a:extLst>
            <a:ext uri="{FF2B5EF4-FFF2-40B4-BE49-F238E27FC236}">
              <a16:creationId xmlns:a16="http://schemas.microsoft.com/office/drawing/2014/main" id="{DB139D36-0B32-80C6-DA8B-39EAB5EA817C}"/>
            </a:ext>
          </a:extLst>
        </xdr:cNvPr>
        <xdr:cNvSpPr txBox="1"/>
      </xdr:nvSpPr>
      <xdr:spPr>
        <a:xfrm>
          <a:off x="8172451" y="5086349"/>
          <a:ext cx="5086350" cy="143827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Kui pikk on ühe liikumise - st alguspunktist sihtpunkti - keskmine pikkus kilomeetrites keskmise suurusega linnades eraldi jalgsi, rattaga, sõiduautoga ja ühistrasnpordiga liikumise korral:</a:t>
          </a:r>
        </a:p>
        <a:p>
          <a:endParaRPr lang="et-EE" sz="1050" b="1"/>
        </a:p>
        <a:p>
          <a:r>
            <a:rPr lang="et-EE" sz="1050"/>
            <a:t>Jalgsi: 1-3km</a:t>
          </a:r>
        </a:p>
        <a:p>
          <a:r>
            <a:rPr lang="et-EE" sz="1050"/>
            <a:t>Ühistransport: 5-12km</a:t>
          </a:r>
        </a:p>
        <a:p>
          <a:r>
            <a:rPr lang="et-EE" sz="1050"/>
            <a:t>Sõiduauto: 5-15km</a:t>
          </a:r>
        </a:p>
        <a:p>
          <a:r>
            <a:rPr lang="et-EE" sz="1050"/>
            <a:t>Jalgratas:</a:t>
          </a:r>
          <a:r>
            <a:rPr lang="et-EE" sz="1050" baseline="0"/>
            <a:t> 3-8km</a:t>
          </a:r>
          <a:endParaRPr lang="et-EE" sz="1050"/>
        </a:p>
        <a:p>
          <a:endParaRPr lang="et-EE" sz="1050"/>
        </a:p>
      </xdr:txBody>
    </xdr:sp>
    <xdr:clientData/>
  </xdr:twoCellAnchor>
  <xdr:twoCellAnchor>
    <xdr:from>
      <xdr:col>7</xdr:col>
      <xdr:colOff>400050</xdr:colOff>
      <xdr:row>323</xdr:row>
      <xdr:rowOff>142875</xdr:rowOff>
    </xdr:from>
    <xdr:to>
      <xdr:col>15</xdr:col>
      <xdr:colOff>361950</xdr:colOff>
      <xdr:row>326</xdr:row>
      <xdr:rowOff>47624</xdr:rowOff>
    </xdr:to>
    <xdr:sp macro="" textlink="">
      <xdr:nvSpPr>
        <xdr:cNvPr id="3" name="TextBox 2">
          <a:extLst>
            <a:ext uri="{FF2B5EF4-FFF2-40B4-BE49-F238E27FC236}">
              <a16:creationId xmlns:a16="http://schemas.microsoft.com/office/drawing/2014/main" id="{7A82AFC1-D28E-A542-CDEE-58C55049B58E}"/>
            </a:ext>
          </a:extLst>
        </xdr:cNvPr>
        <xdr:cNvSpPr txBox="1"/>
      </xdr:nvSpPr>
      <xdr:spPr>
        <a:xfrm>
          <a:off x="7219950" y="7296150"/>
          <a:ext cx="5762625" cy="476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1" i="0" u="none" strike="noStrike" baseline="0">
              <a:solidFill>
                <a:schemeClr val="dk1"/>
              </a:solidFill>
              <a:latin typeface="+mn-lt"/>
              <a:ea typeface="+mn-ea"/>
              <a:cs typeface="+mn-cs"/>
            </a:rPr>
            <a:t>Jäätmetest</a:t>
          </a:r>
          <a:r>
            <a:rPr lang="et-EE" sz="1100" b="0" i="0" u="none" strike="noStrike" baseline="0">
              <a:solidFill>
                <a:schemeClr val="dk1"/>
              </a:solidFill>
              <a:latin typeface="+mn-lt"/>
              <a:ea typeface="+mn-ea"/>
              <a:cs typeface="+mn-cs"/>
            </a:rPr>
            <a:t> tulenev KHG heitkogus on hinnatud ainult kompostimise kategoorias, sest Tallinna linna territooriumil ei toimu jäätmete ladestamist. Reoveest eralduvat heidet pole hinnatud.</a:t>
          </a:r>
          <a:endParaRPr lang="et-EE" sz="1100"/>
        </a:p>
      </xdr:txBody>
    </xdr:sp>
    <xdr:clientData/>
  </xdr:twoCellAnchor>
  <xdr:twoCellAnchor>
    <xdr:from>
      <xdr:col>10</xdr:col>
      <xdr:colOff>46403</xdr:colOff>
      <xdr:row>311</xdr:row>
      <xdr:rowOff>140092</xdr:rowOff>
    </xdr:from>
    <xdr:to>
      <xdr:col>17</xdr:col>
      <xdr:colOff>613800</xdr:colOff>
      <xdr:row>431</xdr:row>
      <xdr:rowOff>145537</xdr:rowOff>
    </xdr:to>
    <xdr:graphicFrame macro="">
      <xdr:nvGraphicFramePr>
        <xdr:cNvPr id="4" name="Chart 3">
          <a:extLst>
            <a:ext uri="{FF2B5EF4-FFF2-40B4-BE49-F238E27FC236}">
              <a16:creationId xmlns:a16="http://schemas.microsoft.com/office/drawing/2014/main" id="{AEA152C7-53C6-5ECE-02A5-841F7B8672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723900</xdr:colOff>
      <xdr:row>19</xdr:row>
      <xdr:rowOff>47626</xdr:rowOff>
    </xdr:from>
    <xdr:to>
      <xdr:col>12</xdr:col>
      <xdr:colOff>28575</xdr:colOff>
      <xdr:row>23</xdr:row>
      <xdr:rowOff>104776</xdr:rowOff>
    </xdr:to>
    <xdr:sp macro="" textlink="">
      <xdr:nvSpPr>
        <xdr:cNvPr id="2" name="TextBox 1">
          <a:extLst>
            <a:ext uri="{FF2B5EF4-FFF2-40B4-BE49-F238E27FC236}">
              <a16:creationId xmlns:a16="http://schemas.microsoft.com/office/drawing/2014/main" id="{7C0B9985-6A9E-4360-A92E-1CE0E72AF918}"/>
            </a:ext>
          </a:extLst>
        </xdr:cNvPr>
        <xdr:cNvSpPr txBox="1"/>
      </xdr:nvSpPr>
      <xdr:spPr>
        <a:xfrm>
          <a:off x="7696200" y="3800476"/>
          <a:ext cx="3505200" cy="81915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aseline="0"/>
            <a:t>Kuigi elektritarbimine on inventuuri andmetel Tallinna kõige suurem KHG heite allikas, ei ole elektrile heidet arvestatud kuna on eeldatud, et elerktri eriheide läheb nulli. Seega selle meetmega heite vähenemis ei toimu.</a:t>
          </a:r>
          <a:endParaRPr lang="et-EE"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342900</xdr:colOff>
      <xdr:row>29</xdr:row>
      <xdr:rowOff>142875</xdr:rowOff>
    </xdr:from>
    <xdr:to>
      <xdr:col>12</xdr:col>
      <xdr:colOff>247650</xdr:colOff>
      <xdr:row>36</xdr:row>
      <xdr:rowOff>114300</xdr:rowOff>
    </xdr:to>
    <xdr:sp macro="" textlink="">
      <xdr:nvSpPr>
        <xdr:cNvPr id="2" name="TextBox 1">
          <a:extLst>
            <a:ext uri="{FF2B5EF4-FFF2-40B4-BE49-F238E27FC236}">
              <a16:creationId xmlns:a16="http://schemas.microsoft.com/office/drawing/2014/main" id="{E3BEF515-5A9D-4047-8C28-CA0F0DC3702A}"/>
            </a:ext>
          </a:extLst>
        </xdr:cNvPr>
        <xdr:cNvSpPr txBox="1"/>
      </xdr:nvSpPr>
      <xdr:spPr>
        <a:xfrm>
          <a:off x="7315200" y="5972175"/>
          <a:ext cx="4105275" cy="130492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aseline="0"/>
            <a:t>Meetme SM1 arvutamisel leiti lokaalkütte osakaal ning fossiilkütuste (maagaas) osakaal lokaalküttes - neid on kasutatud siinse meetme sisendina.</a:t>
          </a:r>
        </a:p>
        <a:p>
          <a:r>
            <a:rPr lang="et-EE" sz="1100" baseline="0"/>
            <a:t>Hinnati, kui suure osakaalu võiks puhas kütus saavutada aastaks 2050 võrreldes tänasega (vt veerg G).</a:t>
          </a:r>
        </a:p>
        <a:p>
          <a:r>
            <a:rPr lang="et-EE" sz="1100" baseline="0"/>
            <a:t>Rahaliste väärtuste hindamine tehti soojuspumpade soetamise ja paigaldamise eeldatavate maksumuste alusel.  </a:t>
          </a:r>
          <a:endParaRPr lang="et-EE"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536432</xdr:colOff>
      <xdr:row>34</xdr:row>
      <xdr:rowOff>76200</xdr:rowOff>
    </xdr:from>
    <xdr:to>
      <xdr:col>21</xdr:col>
      <xdr:colOff>52387</xdr:colOff>
      <xdr:row>46</xdr:row>
      <xdr:rowOff>100012</xdr:rowOff>
    </xdr:to>
    <xdr:sp macro="" textlink="">
      <xdr:nvSpPr>
        <xdr:cNvPr id="2" name="TextBox 1">
          <a:extLst>
            <a:ext uri="{FF2B5EF4-FFF2-40B4-BE49-F238E27FC236}">
              <a16:creationId xmlns:a16="http://schemas.microsoft.com/office/drawing/2014/main" id="{5BF94240-F232-4088-82F3-C675D670A76D}"/>
            </a:ext>
          </a:extLst>
        </xdr:cNvPr>
        <xdr:cNvSpPr txBox="1"/>
      </xdr:nvSpPr>
      <xdr:spPr>
        <a:xfrm>
          <a:off x="11537807" y="7315200"/>
          <a:ext cx="5183330" cy="2202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00"/>
            <a:t>Tallinna transpordi arengukava, Tallinna trammiliinide eeluuringud (2020–2021), Tallinna trammivõrgu arengukava (2019):</a:t>
          </a:r>
        </a:p>
        <a:p>
          <a:r>
            <a:rPr lang="et-EE" sz="1000"/>
            <a:t>Peetri 6-7km, 30-40m€ (NB!2019-2021 hindades)</a:t>
          </a:r>
        </a:p>
        <a:p>
          <a:r>
            <a:rPr lang="et-EE" sz="1000"/>
            <a:t>Sõle 3,5km, 20-25m€</a:t>
          </a:r>
        </a:p>
        <a:p>
          <a:r>
            <a:rPr lang="et-EE" sz="1000"/>
            <a:t>Liivalaia2-3km, 15-25m€</a:t>
          </a:r>
        </a:p>
        <a:p>
          <a:r>
            <a:rPr lang="et-EE" sz="1000"/>
            <a:t>Laagna 8-9, 50-60m€</a:t>
          </a:r>
        </a:p>
        <a:p>
          <a:r>
            <a:rPr lang="et-EE" sz="1000" b="1"/>
            <a:t>KOKKU 130-150m€</a:t>
          </a:r>
        </a:p>
        <a:p>
          <a:r>
            <a:rPr lang="et-EE" sz="1000"/>
            <a:t>Viimsi 6-8km, 25-35m€</a:t>
          </a:r>
        </a:p>
        <a:p>
          <a:r>
            <a:rPr lang="et-EE" sz="1000"/>
            <a:t>Mustamäe 6-7km, 30-40m€ </a:t>
          </a:r>
        </a:p>
        <a:p>
          <a:r>
            <a:rPr lang="et-EE" sz="1000"/>
            <a:t>Lasnamäe</a:t>
          </a:r>
          <a:r>
            <a:rPr lang="et-EE" sz="1000" baseline="0"/>
            <a:t> põhjaosa 6-8km, 35-45m€</a:t>
          </a:r>
        </a:p>
        <a:p>
          <a:r>
            <a:rPr lang="et-EE" sz="1000" b="1" baseline="0"/>
            <a:t>KOKKU 90-120m€</a:t>
          </a:r>
        </a:p>
        <a:p>
          <a:r>
            <a:rPr lang="et-EE" sz="1000" baseline="0"/>
            <a:t>Haabersti 5-6km, 25-35m€</a:t>
          </a:r>
        </a:p>
        <a:p>
          <a:r>
            <a:rPr lang="et-EE" sz="1000" baseline="0"/>
            <a:t>Kalaranna 2-3km, 15-20m€</a:t>
          </a:r>
        </a:p>
        <a:p>
          <a:endParaRPr lang="et-EE" sz="1000"/>
        </a:p>
        <a:p>
          <a:endParaRPr lang="et-EE" sz="1000"/>
        </a:p>
      </xdr:txBody>
    </xdr:sp>
    <xdr:clientData/>
  </xdr:twoCellAnchor>
  <xdr:twoCellAnchor editAs="oneCell">
    <xdr:from>
      <xdr:col>17</xdr:col>
      <xdr:colOff>126284</xdr:colOff>
      <xdr:row>93</xdr:row>
      <xdr:rowOff>180975</xdr:rowOff>
    </xdr:from>
    <xdr:to>
      <xdr:col>26</xdr:col>
      <xdr:colOff>191690</xdr:colOff>
      <xdr:row>108</xdr:row>
      <xdr:rowOff>82918</xdr:rowOff>
    </xdr:to>
    <xdr:pic>
      <xdr:nvPicPr>
        <xdr:cNvPr id="3" name="Picture 2">
          <a:extLst>
            <a:ext uri="{FF2B5EF4-FFF2-40B4-BE49-F238E27FC236}">
              <a16:creationId xmlns:a16="http://schemas.microsoft.com/office/drawing/2014/main" id="{AFB0557A-6C89-C48B-83ED-F4D5D7262A0F}"/>
            </a:ext>
          </a:extLst>
        </xdr:cNvPr>
        <xdr:cNvPicPr>
          <a:picLocks noChangeAspect="1"/>
        </xdr:cNvPicPr>
      </xdr:nvPicPr>
      <xdr:blipFill>
        <a:blip xmlns:r="http://schemas.openxmlformats.org/officeDocument/2006/relationships" r:embed="rId1"/>
        <a:stretch>
          <a:fillRect/>
        </a:stretch>
      </xdr:blipFill>
      <xdr:spPr>
        <a:xfrm>
          <a:off x="14156609" y="3543300"/>
          <a:ext cx="6009006" cy="2759443"/>
        </a:xfrm>
        <a:prstGeom prst="rect">
          <a:avLst/>
        </a:prstGeom>
      </xdr:spPr>
    </xdr:pic>
    <xdr:clientData/>
  </xdr:twoCellAnchor>
  <xdr:twoCellAnchor>
    <xdr:from>
      <xdr:col>6</xdr:col>
      <xdr:colOff>476250</xdr:colOff>
      <xdr:row>36</xdr:row>
      <xdr:rowOff>38100</xdr:rowOff>
    </xdr:from>
    <xdr:to>
      <xdr:col>12</xdr:col>
      <xdr:colOff>381000</xdr:colOff>
      <xdr:row>42</xdr:row>
      <xdr:rowOff>171450</xdr:rowOff>
    </xdr:to>
    <xdr:sp macro="" textlink="">
      <xdr:nvSpPr>
        <xdr:cNvPr id="4" name="TextBox 3">
          <a:extLst>
            <a:ext uri="{FF2B5EF4-FFF2-40B4-BE49-F238E27FC236}">
              <a16:creationId xmlns:a16="http://schemas.microsoft.com/office/drawing/2014/main" id="{942674AD-A4D5-4989-BE4C-347AC31C9D69}"/>
            </a:ext>
          </a:extLst>
        </xdr:cNvPr>
        <xdr:cNvSpPr txBox="1"/>
      </xdr:nvSpPr>
      <xdr:spPr>
        <a:xfrm>
          <a:off x="6629400" y="7000875"/>
          <a:ext cx="4000500" cy="132397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KHG vähenemise arvutamise</a:t>
          </a:r>
          <a:r>
            <a:rPr lang="et-EE" sz="1050" baseline="0"/>
            <a:t> olulisemad sisendid olid (1) reisijate arvu hinnand uutel trammiliinidel, (2) reisijate osakaal, kes vahetavad sõiduauto trammi vastu ning (3) sõiduato keskmise reisi pikkus (hinnati %-na vastava trammiliini pikkusesse).</a:t>
          </a:r>
        </a:p>
        <a:p>
          <a:r>
            <a:rPr lang="et-EE" sz="1050"/>
            <a:t>Kulude</a:t>
          </a:r>
          <a:r>
            <a:rPr lang="et-EE" sz="1050" baseline="0"/>
            <a:t> muutuse hindamiseks hinnati trammiliinidega seotud investeeringute maksumused, trammide ülalpidamisekulud ning sõiduautodega seotud kulud. </a:t>
          </a:r>
          <a:endParaRPr lang="et-EE" sz="105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571500</xdr:colOff>
      <xdr:row>22</xdr:row>
      <xdr:rowOff>180975</xdr:rowOff>
    </xdr:from>
    <xdr:to>
      <xdr:col>12</xdr:col>
      <xdr:colOff>266700</xdr:colOff>
      <xdr:row>29</xdr:row>
      <xdr:rowOff>28574</xdr:rowOff>
    </xdr:to>
    <xdr:sp macro="" textlink="">
      <xdr:nvSpPr>
        <xdr:cNvPr id="2" name="TextBox 1">
          <a:extLst>
            <a:ext uri="{FF2B5EF4-FFF2-40B4-BE49-F238E27FC236}">
              <a16:creationId xmlns:a16="http://schemas.microsoft.com/office/drawing/2014/main" id="{6DB31D89-B6FB-48B5-8B1A-10F2C67B1BE7}"/>
            </a:ext>
          </a:extLst>
        </xdr:cNvPr>
        <xdr:cNvSpPr txBox="1"/>
      </xdr:nvSpPr>
      <xdr:spPr>
        <a:xfrm>
          <a:off x="6800850" y="4257675"/>
          <a:ext cx="3790950" cy="1181099"/>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Eeldatud on,</a:t>
          </a:r>
          <a:r>
            <a:rPr lang="et-EE" sz="1050" baseline="0"/>
            <a:t> et meetmega saavutatakse mõju ilma ÜT sõitude arvu suurendamist, mis muudab meetme kulutõhusaks - linna kulud on minimaalsed, sõiduautode kulud vähenevad. Keeruline on hinnata meetme mõju sõitjate arvu muutusele ning autoreisijate osakaalu uutes ÜT sõitudes.</a:t>
          </a:r>
          <a:endParaRPr lang="et-EE" sz="105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25164</xdr:colOff>
      <xdr:row>25</xdr:row>
      <xdr:rowOff>15688</xdr:rowOff>
    </xdr:from>
    <xdr:to>
      <xdr:col>22</xdr:col>
      <xdr:colOff>369233</xdr:colOff>
      <xdr:row>39</xdr:row>
      <xdr:rowOff>112058</xdr:rowOff>
    </xdr:to>
    <xdr:sp macro="" textlink="">
      <xdr:nvSpPr>
        <xdr:cNvPr id="2" name="TextBox 1">
          <a:extLst>
            <a:ext uri="{FF2B5EF4-FFF2-40B4-BE49-F238E27FC236}">
              <a16:creationId xmlns:a16="http://schemas.microsoft.com/office/drawing/2014/main" id="{6E703A89-686A-C913-AB3B-312369D34E84}"/>
            </a:ext>
          </a:extLst>
        </xdr:cNvPr>
        <xdr:cNvSpPr txBox="1"/>
      </xdr:nvSpPr>
      <xdr:spPr>
        <a:xfrm>
          <a:off x="12105105" y="4475629"/>
          <a:ext cx="5913393" cy="27185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br>
            <a:rPr lang="et-EE" sz="1000">
              <a:solidFill>
                <a:schemeClr val="dk1"/>
              </a:solidFill>
              <a:effectLst/>
              <a:latin typeface="+mn-lt"/>
              <a:ea typeface="+mn-ea"/>
              <a:cs typeface="+mn-cs"/>
            </a:rPr>
          </a:br>
          <a:r>
            <a:rPr lang="et-EE" sz="1000">
              <a:solidFill>
                <a:schemeClr val="dk1"/>
              </a:solidFill>
              <a:effectLst/>
              <a:latin typeface="+mn-lt"/>
              <a:ea typeface="+mn-ea"/>
              <a:cs typeface="+mn-cs"/>
            </a:rPr>
            <a:t>2024.aasta busside läbisõidud (liiniveo bussid):</a:t>
          </a:r>
          <a:br>
            <a:rPr lang="et-EE" sz="1000">
              <a:solidFill>
                <a:schemeClr val="dk1"/>
              </a:solidFill>
              <a:effectLst/>
              <a:latin typeface="+mn-lt"/>
              <a:ea typeface="+mn-ea"/>
              <a:cs typeface="+mn-cs"/>
            </a:rPr>
          </a:br>
          <a:r>
            <a:rPr lang="et-EE" sz="1000">
              <a:solidFill>
                <a:schemeClr val="dk1"/>
              </a:solidFill>
              <a:effectLst/>
              <a:latin typeface="+mn-lt"/>
              <a:ea typeface="+mn-ea"/>
              <a:cs typeface="+mn-cs"/>
            </a:rPr>
            <a:t>Elektribussid                           587,5 tuh km</a:t>
          </a:r>
          <a:br>
            <a:rPr lang="et-EE" sz="1000">
              <a:solidFill>
                <a:schemeClr val="dk1"/>
              </a:solidFill>
              <a:effectLst/>
              <a:latin typeface="+mn-lt"/>
              <a:ea typeface="+mn-ea"/>
              <a:cs typeface="+mn-cs"/>
            </a:rPr>
          </a:br>
          <a:r>
            <a:rPr lang="et-EE" sz="1000">
              <a:solidFill>
                <a:schemeClr val="dk1"/>
              </a:solidFill>
              <a:effectLst/>
              <a:latin typeface="+mn-lt"/>
              <a:ea typeface="+mn-ea"/>
              <a:cs typeface="+mn-cs"/>
            </a:rPr>
            <a:t>Gaasibussid                        24 436,7 tuh km</a:t>
          </a:r>
          <a:br>
            <a:rPr lang="et-EE" sz="1000">
              <a:solidFill>
                <a:schemeClr val="dk1"/>
              </a:solidFill>
              <a:effectLst/>
              <a:latin typeface="+mn-lt"/>
              <a:ea typeface="+mn-ea"/>
              <a:cs typeface="+mn-cs"/>
            </a:rPr>
          </a:br>
          <a:r>
            <a:rPr lang="et-EE" sz="1000">
              <a:solidFill>
                <a:schemeClr val="dk1"/>
              </a:solidFill>
              <a:effectLst/>
              <a:latin typeface="+mn-lt"/>
              <a:ea typeface="+mn-ea"/>
              <a:cs typeface="+mn-cs"/>
            </a:rPr>
            <a:t>Diiselbussid                          9 099,5 tuh km</a:t>
          </a:r>
          <a:br>
            <a:rPr lang="et-EE" sz="1000">
              <a:solidFill>
                <a:schemeClr val="dk1"/>
              </a:solidFill>
              <a:effectLst/>
              <a:latin typeface="+mn-lt"/>
              <a:ea typeface="+mn-ea"/>
              <a:cs typeface="+mn-cs"/>
            </a:rPr>
          </a:br>
          <a:r>
            <a:rPr lang="et-EE" sz="1000">
              <a:solidFill>
                <a:schemeClr val="dk1"/>
              </a:solidFill>
              <a:effectLst/>
              <a:latin typeface="+mn-lt"/>
              <a:ea typeface="+mn-ea"/>
              <a:cs typeface="+mn-cs"/>
            </a:rPr>
            <a:t>Trammid (elekter)             2 537,0 tuh km</a:t>
          </a:r>
          <a:br>
            <a:rPr lang="et-EE" sz="1000">
              <a:solidFill>
                <a:schemeClr val="dk1"/>
              </a:solidFill>
              <a:effectLst/>
              <a:latin typeface="+mn-lt"/>
              <a:ea typeface="+mn-ea"/>
              <a:cs typeface="+mn-cs"/>
            </a:rPr>
          </a:br>
          <a:r>
            <a:rPr lang="et-EE" sz="1000">
              <a:solidFill>
                <a:schemeClr val="dk1"/>
              </a:solidFill>
              <a:effectLst/>
              <a:latin typeface="+mn-lt"/>
              <a:ea typeface="+mn-ea"/>
              <a:cs typeface="+mn-cs"/>
            </a:rPr>
            <a:t>Trollid (elekter)                   1 756,4 tuh km</a:t>
          </a:r>
          <a:br>
            <a:rPr lang="et-EE" sz="1000">
              <a:solidFill>
                <a:schemeClr val="dk1"/>
              </a:solidFill>
              <a:effectLst/>
              <a:latin typeface="+mn-lt"/>
              <a:ea typeface="+mn-ea"/>
              <a:cs typeface="+mn-cs"/>
            </a:rPr>
          </a:br>
          <a:r>
            <a:rPr lang="et-EE" sz="1000">
              <a:solidFill>
                <a:schemeClr val="dk1"/>
              </a:solidFill>
              <a:effectLst/>
              <a:latin typeface="+mn-lt"/>
              <a:ea typeface="+mn-ea"/>
              <a:cs typeface="+mn-cs"/>
            </a:rPr>
            <a:t>TLT gaasibusside biometaani kasutamise osakaal oli 2024. aastal 62%.</a:t>
          </a:r>
        </a:p>
        <a:p>
          <a:endParaRPr lang="et-EE" sz="1000">
            <a:solidFill>
              <a:schemeClr val="dk1"/>
            </a:solidFill>
            <a:effectLst/>
            <a:latin typeface="+mn-lt"/>
            <a:ea typeface="+mn-ea"/>
            <a:cs typeface="+mn-cs"/>
          </a:endParaRPr>
        </a:p>
        <a:p>
          <a:r>
            <a:rPr lang="et-EE" sz="1050">
              <a:solidFill>
                <a:schemeClr val="dk1"/>
              </a:solidFill>
              <a:effectLst/>
              <a:latin typeface="+mn-lt"/>
              <a:ea typeface="+mn-ea"/>
              <a:cs typeface="+mn-cs"/>
            </a:rPr>
            <a:t>Busside eluiga on 10 – 12 aastat.</a:t>
          </a:r>
        </a:p>
        <a:p>
          <a:r>
            <a:rPr lang="et-EE" sz="1050">
              <a:solidFill>
                <a:schemeClr val="dk1"/>
              </a:solidFill>
              <a:effectLst/>
              <a:latin typeface="+mn-lt"/>
              <a:ea typeface="+mn-ea"/>
              <a:cs typeface="+mn-cs"/>
            </a:rPr>
            <a:t>Diiselbusse on 192.</a:t>
          </a:r>
        </a:p>
        <a:p>
          <a:r>
            <a:rPr lang="et-EE" sz="1050">
              <a:solidFill>
                <a:schemeClr val="dk1"/>
              </a:solidFill>
              <a:effectLst/>
              <a:latin typeface="+mn-lt"/>
              <a:ea typeface="+mn-ea"/>
              <a:cs typeface="+mn-cs"/>
            </a:rPr>
            <a:t>CNG busse (gaasibussid, mis on ka sisepõlemismootoriga) 350 + 30 = 380.</a:t>
          </a:r>
        </a:p>
        <a:p>
          <a:r>
            <a:rPr lang="et-EE" sz="1050">
              <a:solidFill>
                <a:schemeClr val="dk1"/>
              </a:solidFill>
              <a:effectLst/>
              <a:latin typeface="+mn-lt"/>
              <a:ea typeface="+mn-ea"/>
              <a:cs typeface="+mn-cs"/>
            </a:rPr>
            <a:t>Praegu on 545 sisepõlemismootoriga bussi ja 30 tuleb juurde. Kokku on vaja välja vahetada 575 bussi.</a:t>
          </a:r>
        </a:p>
        <a:p>
          <a:r>
            <a:rPr lang="et-EE" sz="1050">
              <a:solidFill>
                <a:schemeClr val="dk1"/>
              </a:solidFill>
              <a:effectLst/>
              <a:latin typeface="+mn-lt"/>
              <a:ea typeface="+mn-ea"/>
              <a:cs typeface="+mn-cs"/>
            </a:rPr>
            <a:t>Olemasolevate 15 elektribussi eluiga on 10–11 aastat, seega 2034–2035 tuleb ka need välja vahetada.</a:t>
          </a:r>
        </a:p>
        <a:p>
          <a:r>
            <a:rPr lang="et-EE" sz="1050">
              <a:solidFill>
                <a:schemeClr val="dk1"/>
              </a:solidFill>
              <a:effectLst/>
              <a:latin typeface="+mn-lt"/>
              <a:ea typeface="+mn-ea"/>
              <a:cs typeface="+mn-cs"/>
            </a:rPr>
            <a:t>Kalkulatsioonis kasutatakse koguarvuna 2035. aastaks 590 bussi, mis vajavad välja vahetamist.</a:t>
          </a:r>
        </a:p>
        <a:p>
          <a:r>
            <a:rPr lang="et-EE" sz="1050">
              <a:solidFill>
                <a:schemeClr val="dk1"/>
              </a:solidFill>
              <a:effectLst/>
              <a:latin typeface="+mn-lt"/>
              <a:ea typeface="+mn-ea"/>
              <a:cs typeface="+mn-cs"/>
            </a:rPr>
            <a:t> </a:t>
          </a:r>
          <a:br>
            <a:rPr lang="et-EE" sz="900">
              <a:solidFill>
                <a:schemeClr val="dk1"/>
              </a:solidFill>
              <a:effectLst/>
              <a:latin typeface="+mn-lt"/>
              <a:ea typeface="+mn-ea"/>
              <a:cs typeface="+mn-cs"/>
            </a:rPr>
          </a:br>
          <a:endParaRPr lang="et-EE" sz="900"/>
        </a:p>
      </xdr:txBody>
    </xdr:sp>
    <xdr:clientData/>
  </xdr:twoCellAnchor>
  <xdr:twoCellAnchor>
    <xdr:from>
      <xdr:col>7</xdr:col>
      <xdr:colOff>0</xdr:colOff>
      <xdr:row>28</xdr:row>
      <xdr:rowOff>1</xdr:rowOff>
    </xdr:from>
    <xdr:to>
      <xdr:col>12</xdr:col>
      <xdr:colOff>66675</xdr:colOff>
      <xdr:row>32</xdr:row>
      <xdr:rowOff>152401</xdr:rowOff>
    </xdr:to>
    <xdr:sp macro="" textlink="">
      <xdr:nvSpPr>
        <xdr:cNvPr id="3" name="TextBox 2">
          <a:extLst>
            <a:ext uri="{FF2B5EF4-FFF2-40B4-BE49-F238E27FC236}">
              <a16:creationId xmlns:a16="http://schemas.microsoft.com/office/drawing/2014/main" id="{0361EC27-1726-46C6-B87C-A707E2FC038B}"/>
            </a:ext>
          </a:extLst>
        </xdr:cNvPr>
        <xdr:cNvSpPr txBox="1"/>
      </xdr:nvSpPr>
      <xdr:spPr>
        <a:xfrm>
          <a:off x="6877050" y="4848226"/>
          <a:ext cx="3514725" cy="91440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Teada on diiselbusside</a:t>
          </a:r>
          <a:r>
            <a:rPr lang="et-EE" sz="1050" baseline="0"/>
            <a:t> arv ehk asendamise vajadus. Kütuste vahetus on kõige efektiivsem meede KHG heite vähendamiseks. Arvutused näitasid, et elektribusside soodsam ülalpidamine katab ära nende kallima maksumuse ning meede on ka kulutõhus.</a:t>
          </a:r>
          <a:endParaRPr lang="et-EE" sz="105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26</xdr:row>
      <xdr:rowOff>0</xdr:rowOff>
    </xdr:from>
    <xdr:to>
      <xdr:col>12</xdr:col>
      <xdr:colOff>66675</xdr:colOff>
      <xdr:row>30</xdr:row>
      <xdr:rowOff>152400</xdr:rowOff>
    </xdr:to>
    <xdr:sp macro="" textlink="">
      <xdr:nvSpPr>
        <xdr:cNvPr id="2" name="TextBox 1">
          <a:extLst>
            <a:ext uri="{FF2B5EF4-FFF2-40B4-BE49-F238E27FC236}">
              <a16:creationId xmlns:a16="http://schemas.microsoft.com/office/drawing/2014/main" id="{FDAF6D9F-6BE1-413E-9B52-01B421F1D3F5}"/>
            </a:ext>
          </a:extLst>
        </xdr:cNvPr>
        <xdr:cNvSpPr txBox="1"/>
      </xdr:nvSpPr>
      <xdr:spPr>
        <a:xfrm>
          <a:off x="6877050" y="4962525"/>
          <a:ext cx="3514725" cy="91440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Erinevad</a:t>
          </a:r>
          <a:r>
            <a:rPr lang="et-EE" sz="1050" baseline="0"/>
            <a:t> meetmed, mis on seotud nii investeeringute kui ka teadlikkuse suurendamine. Eeldatud on, et ÜT liinikilomeetreid ei lisandu, seega on ka meetmetaga kaasnevad kulud mõõdukad.</a:t>
          </a:r>
          <a:endParaRPr lang="et-EE" sz="105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0</xdr:colOff>
      <xdr:row>24</xdr:row>
      <xdr:rowOff>22859</xdr:rowOff>
    </xdr:from>
    <xdr:to>
      <xdr:col>12</xdr:col>
      <xdr:colOff>533400</xdr:colOff>
      <xdr:row>30</xdr:row>
      <xdr:rowOff>13335</xdr:rowOff>
    </xdr:to>
    <xdr:sp macro="" textlink="">
      <xdr:nvSpPr>
        <xdr:cNvPr id="2" name="TextBox 1">
          <a:extLst>
            <a:ext uri="{FF2B5EF4-FFF2-40B4-BE49-F238E27FC236}">
              <a16:creationId xmlns:a16="http://schemas.microsoft.com/office/drawing/2014/main" id="{2170D73B-DAF5-4F97-A06D-492EA66A1806}"/>
            </a:ext>
          </a:extLst>
        </xdr:cNvPr>
        <xdr:cNvSpPr txBox="1"/>
      </xdr:nvSpPr>
      <xdr:spPr>
        <a:xfrm>
          <a:off x="7078980" y="4762499"/>
          <a:ext cx="4076700" cy="1102996"/>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Keeruline</a:t>
          </a:r>
          <a:r>
            <a:rPr lang="et-EE" sz="1050" baseline="0"/>
            <a:t> on hinnata nii ühistranspordikeskuste rajamise maksumusi kui ka meetmete mõju ÜT kasutusele. Seega on meetmete mõju hindamisega seotud suur ebakindlus nii maksumuse kui ka KHG mõju osas.</a:t>
          </a:r>
        </a:p>
        <a:p>
          <a:r>
            <a:rPr lang="et-EE" sz="1050" baseline="0"/>
            <a:t>Meede on kulutõhus, kuna ei ole arvestatud, et lisanduks täiendavat ÜT liiklust. Kulud langevad </a:t>
          </a:r>
          <a:r>
            <a:rPr lang="et-EE" sz="1100">
              <a:solidFill>
                <a:schemeClr val="dk1"/>
              </a:solidFill>
              <a:effectLst/>
              <a:latin typeface="+mn-lt"/>
              <a:ea typeface="+mn-ea"/>
              <a:cs typeface="+mn-cs"/>
            </a:rPr>
            <a:t>autokasutuse</a:t>
          </a:r>
          <a:r>
            <a:rPr lang="et-EE" sz="1050" baseline="0"/>
            <a:t> kulude vähenemise tulemusena.</a:t>
          </a:r>
          <a:endParaRPr lang="et-EE" sz="105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419100</xdr:colOff>
      <xdr:row>25</xdr:row>
      <xdr:rowOff>152400</xdr:rowOff>
    </xdr:from>
    <xdr:to>
      <xdr:col>12</xdr:col>
      <xdr:colOff>104775</xdr:colOff>
      <xdr:row>31</xdr:row>
      <xdr:rowOff>142876</xdr:rowOff>
    </xdr:to>
    <xdr:sp macro="" textlink="">
      <xdr:nvSpPr>
        <xdr:cNvPr id="2" name="TextBox 1">
          <a:extLst>
            <a:ext uri="{FF2B5EF4-FFF2-40B4-BE49-F238E27FC236}">
              <a16:creationId xmlns:a16="http://schemas.microsoft.com/office/drawing/2014/main" id="{586E891D-AB70-4EE5-87DD-60FD97ACA411}"/>
            </a:ext>
          </a:extLst>
        </xdr:cNvPr>
        <xdr:cNvSpPr txBox="1"/>
      </xdr:nvSpPr>
      <xdr:spPr>
        <a:xfrm>
          <a:off x="6648450" y="4895850"/>
          <a:ext cx="3981450" cy="1133476"/>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Kulud on suhteliselt suure kindlusega</a:t>
          </a:r>
          <a:r>
            <a:rPr lang="et-EE" sz="1050" baseline="0"/>
            <a:t> hinnatavad. Ebakindluse on eelkõige seotud modaalnihke hinnanguga - kuidas rattataristu arendamine autosõitu vähendab. Rattateede hooldustaseme tõus peaks eelkõige puudutama talveperioodi.</a:t>
          </a:r>
        </a:p>
        <a:p>
          <a:r>
            <a:rPr lang="et-EE" sz="1050" baseline="0"/>
            <a:t>Meede on kallis kuna investeeringute ja lisanduvate hoolduskulude summa ületab oluliselt </a:t>
          </a:r>
          <a:r>
            <a:rPr lang="et-EE" sz="1100">
              <a:solidFill>
                <a:schemeClr val="dk1"/>
              </a:solidFill>
              <a:effectLst/>
              <a:latin typeface="+mn-lt"/>
              <a:ea typeface="+mn-ea"/>
              <a:cs typeface="+mn-cs"/>
            </a:rPr>
            <a:t>autokasutuse</a:t>
          </a:r>
          <a:r>
            <a:rPr lang="et-EE" sz="1050" baseline="0"/>
            <a:t> kulude vähenemine. </a:t>
          </a:r>
          <a:endParaRPr lang="et-EE" sz="105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24</xdr:col>
      <xdr:colOff>212371</xdr:colOff>
      <xdr:row>18</xdr:row>
      <xdr:rowOff>66675</xdr:rowOff>
    </xdr:from>
    <xdr:to>
      <xdr:col>27</xdr:col>
      <xdr:colOff>561297</xdr:colOff>
      <xdr:row>30</xdr:row>
      <xdr:rowOff>85094</xdr:rowOff>
    </xdr:to>
    <xdr:pic>
      <xdr:nvPicPr>
        <xdr:cNvPr id="2" name="Picture 1">
          <a:extLst>
            <a:ext uri="{FF2B5EF4-FFF2-40B4-BE49-F238E27FC236}">
              <a16:creationId xmlns:a16="http://schemas.microsoft.com/office/drawing/2014/main" id="{14EB66B4-CB20-B769-3034-1CA1399323AD}"/>
            </a:ext>
          </a:extLst>
        </xdr:cNvPr>
        <xdr:cNvPicPr>
          <a:picLocks noChangeAspect="1"/>
        </xdr:cNvPicPr>
      </xdr:nvPicPr>
      <xdr:blipFill>
        <a:blip xmlns:r="http://schemas.openxmlformats.org/officeDocument/2006/relationships" r:embed="rId1"/>
        <a:stretch>
          <a:fillRect/>
        </a:stretch>
      </xdr:blipFill>
      <xdr:spPr>
        <a:xfrm>
          <a:off x="19586221" y="3629025"/>
          <a:ext cx="2320601" cy="2161544"/>
        </a:xfrm>
        <a:prstGeom prst="rect">
          <a:avLst/>
        </a:prstGeom>
      </xdr:spPr>
    </xdr:pic>
    <xdr:clientData/>
  </xdr:twoCellAnchor>
  <xdr:twoCellAnchor>
    <xdr:from>
      <xdr:col>6</xdr:col>
      <xdr:colOff>600075</xdr:colOff>
      <xdr:row>20</xdr:row>
      <xdr:rowOff>85724</xdr:rowOff>
    </xdr:from>
    <xdr:to>
      <xdr:col>11</xdr:col>
      <xdr:colOff>619125</xdr:colOff>
      <xdr:row>27</xdr:row>
      <xdr:rowOff>38099</xdr:rowOff>
    </xdr:to>
    <xdr:sp macro="" textlink="">
      <xdr:nvSpPr>
        <xdr:cNvPr id="3" name="TextBox 2">
          <a:extLst>
            <a:ext uri="{FF2B5EF4-FFF2-40B4-BE49-F238E27FC236}">
              <a16:creationId xmlns:a16="http://schemas.microsoft.com/office/drawing/2014/main" id="{4469B366-0794-4F96-96D1-74D04AC6D8D8}"/>
            </a:ext>
          </a:extLst>
        </xdr:cNvPr>
        <xdr:cNvSpPr txBox="1"/>
      </xdr:nvSpPr>
      <xdr:spPr>
        <a:xfrm>
          <a:off x="6829425" y="3886199"/>
          <a:ext cx="3981450" cy="128587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Võib eeldada, et nn rohelise</a:t>
          </a:r>
          <a:r>
            <a:rPr lang="et-EE" sz="1050" baseline="0"/>
            <a:t> viimase miili meede toob kaasa ÜT kasutamise kasvu, teised meetmed on suunatud jala käimise kasvule. Meetmete modaalnihke mõju on keeruline hinnata, samuti on suhteliselt madal kulude hinnangu täpsus, kuid väga suuri kulusid meetmega ei peaks kaasnema.</a:t>
          </a:r>
        </a:p>
        <a:p>
          <a:r>
            <a:rPr lang="et-EE" sz="1050"/>
            <a:t>Meetmed on kokkuvõttes kulutõusad autokasutuse kulude vähenemise tulemusena.</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419100</xdr:colOff>
      <xdr:row>24</xdr:row>
      <xdr:rowOff>152400</xdr:rowOff>
    </xdr:from>
    <xdr:to>
      <xdr:col>12</xdr:col>
      <xdr:colOff>304800</xdr:colOff>
      <xdr:row>31</xdr:row>
      <xdr:rowOff>104775</xdr:rowOff>
    </xdr:to>
    <xdr:sp macro="" textlink="">
      <xdr:nvSpPr>
        <xdr:cNvPr id="2" name="TextBox 1">
          <a:extLst>
            <a:ext uri="{FF2B5EF4-FFF2-40B4-BE49-F238E27FC236}">
              <a16:creationId xmlns:a16="http://schemas.microsoft.com/office/drawing/2014/main" id="{CDB3F54D-C2D7-4346-8BFD-CFFE4DA504B0}"/>
            </a:ext>
          </a:extLst>
        </xdr:cNvPr>
        <xdr:cNvSpPr txBox="1"/>
      </xdr:nvSpPr>
      <xdr:spPr>
        <a:xfrm>
          <a:off x="6648450" y="4695825"/>
          <a:ext cx="3981450" cy="128587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Tegemist on raskeveokitele suunatud kitsa meetmega - puudutab ainult sadama liiklust.</a:t>
          </a:r>
          <a:r>
            <a:rPr lang="et-EE" sz="1050" baseline="0"/>
            <a:t> Sõidukite arv on tuletatud Tallinna Sadama statistikast. Eeldatud on, et veokite kulud nende Muuga sadamasse suunamisest ei muutu - kütusekulu võiks isegi väheneda. Hinnatud ei ole aga seda kuidas veoautode mujale suunamine mõjutab reisijatevedu Vanasadamasse ja laevasõidu hinda reisijatele - seetõttu on maksumuse sisendite kvaliteet hinnatud madalaks.</a:t>
          </a:r>
          <a:endParaRPr lang="et-EE"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523875</xdr:colOff>
      <xdr:row>33</xdr:row>
      <xdr:rowOff>0</xdr:rowOff>
    </xdr:from>
    <xdr:to>
      <xdr:col>14</xdr:col>
      <xdr:colOff>285750</xdr:colOff>
      <xdr:row>41</xdr:row>
      <xdr:rowOff>152400</xdr:rowOff>
    </xdr:to>
    <xdr:sp macro="" textlink="">
      <xdr:nvSpPr>
        <xdr:cNvPr id="2" name="TextBox 1">
          <a:extLst>
            <a:ext uri="{FF2B5EF4-FFF2-40B4-BE49-F238E27FC236}">
              <a16:creationId xmlns:a16="http://schemas.microsoft.com/office/drawing/2014/main" id="{76156A01-3718-2461-E337-841E473B52A5}"/>
            </a:ext>
          </a:extLst>
        </xdr:cNvPr>
        <xdr:cNvSpPr txBox="1"/>
      </xdr:nvSpPr>
      <xdr:spPr>
        <a:xfrm>
          <a:off x="7124700" y="6143625"/>
          <a:ext cx="5400675" cy="167640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KOV hoonete KHG emissioon</a:t>
          </a:r>
          <a:r>
            <a:rPr lang="et-EE" sz="1100" baseline="0"/>
            <a:t> oli 2021.a 20,5 tuh tonni. Sellest kagukütte osa 15,1 ning maagaasi osa 3,8 tuh  tonni. </a:t>
          </a:r>
        </a:p>
        <a:p>
          <a:r>
            <a:rPr lang="et-EE" sz="1100" baseline="0"/>
            <a:t>Renoveerimise mõjul võib soojuse tarbimine väheneda üle 50%  (TalTech). Maagaasi emissiooni vähenemine nulli sõltub eelkõige kütuste ja küttesüsteemis vahetusest või kaugküttega liitumisest. Kuna aastast 2030 kasutatakse linna kaugküttes eelduse kohaselt ainult taastuvaid kütuseid, on kaugkütet kasutavate hoonete renoveerimisel mõju peamiselt hoonete energiatarbimisele.</a:t>
          </a:r>
        </a:p>
        <a:p>
          <a:r>
            <a:rPr lang="et-EE" sz="1100" baseline="0"/>
            <a:t>Kulude arvestuse tulemus sõltub suuresti erinevate kütuste ja kütete hinnast. Arvutused näitavad, et renoveerimise kulu ületab energiatarbimise kokkuhoiust tekkiva võidu.</a:t>
          </a:r>
          <a:endParaRPr lang="et-EE"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704850</xdr:colOff>
      <xdr:row>19</xdr:row>
      <xdr:rowOff>161925</xdr:rowOff>
    </xdr:from>
    <xdr:to>
      <xdr:col>12</xdr:col>
      <xdr:colOff>257175</xdr:colOff>
      <xdr:row>27</xdr:row>
      <xdr:rowOff>76200</xdr:rowOff>
    </xdr:to>
    <xdr:sp macro="" textlink="">
      <xdr:nvSpPr>
        <xdr:cNvPr id="2" name="TextBox 1">
          <a:extLst>
            <a:ext uri="{FF2B5EF4-FFF2-40B4-BE49-F238E27FC236}">
              <a16:creationId xmlns:a16="http://schemas.microsoft.com/office/drawing/2014/main" id="{C1E1C38C-3785-4AE8-80AA-66A4AF2C6B4A}"/>
            </a:ext>
          </a:extLst>
        </xdr:cNvPr>
        <xdr:cNvSpPr txBox="1"/>
      </xdr:nvSpPr>
      <xdr:spPr>
        <a:xfrm>
          <a:off x="6934200" y="3933825"/>
          <a:ext cx="4286250" cy="143827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Tegemist on meetmetega, mis välistavad üksteist. Kõige rohkem on räägitud ummikumaksust.</a:t>
          </a:r>
        </a:p>
        <a:p>
          <a:r>
            <a:rPr lang="et-EE" sz="1050"/>
            <a:t>Meede</a:t>
          </a:r>
          <a:r>
            <a:rPr lang="et-EE" sz="1050" baseline="0"/>
            <a:t> on soodne linnale - tekib täiendav tuluallikas, mis katab süsteemi ülalpidamise kulud. Kokkuvõtes tekitavad meetmed lisakulud on kuid on siiski suhteliselt kulutõhused.</a:t>
          </a:r>
        </a:p>
        <a:p>
          <a:r>
            <a:rPr lang="et-EE" sz="1050" baseline="0"/>
            <a:t>KHG heite vähenemise kogust on võimalik hinnata teiste linnade tulemustele tuginedes (Stockholm, Oslo, Göteborg). KHG heite vähenemine langeb ajas, kuna sõiduatode kütus muutub puhtamaks.</a:t>
          </a:r>
          <a:endParaRPr lang="et-EE" sz="105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0</xdr:colOff>
      <xdr:row>25</xdr:row>
      <xdr:rowOff>0</xdr:rowOff>
    </xdr:from>
    <xdr:to>
      <xdr:col>12</xdr:col>
      <xdr:colOff>303068</xdr:colOff>
      <xdr:row>31</xdr:row>
      <xdr:rowOff>43295</xdr:rowOff>
    </xdr:to>
    <xdr:sp macro="" textlink="">
      <xdr:nvSpPr>
        <xdr:cNvPr id="2" name="TextBox 1">
          <a:extLst>
            <a:ext uri="{FF2B5EF4-FFF2-40B4-BE49-F238E27FC236}">
              <a16:creationId xmlns:a16="http://schemas.microsoft.com/office/drawing/2014/main" id="{19B1682B-9905-4495-BD73-E3CBEF819B6E}"/>
            </a:ext>
          </a:extLst>
        </xdr:cNvPr>
        <xdr:cNvSpPr txBox="1"/>
      </xdr:nvSpPr>
      <xdr:spPr>
        <a:xfrm>
          <a:off x="7022523" y="4753841"/>
          <a:ext cx="4242954" cy="118629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Parkimisele</a:t>
          </a:r>
          <a:r>
            <a:rPr lang="et-EE" sz="1050" baseline="0"/>
            <a:t> suunatud meetmeid on käsitletud komplektis ehk efekt tekib koosmõjus. Mõnede parkimismeeted (TR41-43) ei olnud arvutatavad - nende mõju KHG heitele on küsitav.</a:t>
          </a:r>
        </a:p>
        <a:p>
          <a:r>
            <a:rPr lang="et-EE" sz="1050"/>
            <a:t>KHG heite</a:t>
          </a:r>
          <a:r>
            <a:rPr lang="et-EE" sz="1050" baseline="0"/>
            <a:t> mõju hinnangu usaldusväärsust võib hinnata madalaks. Olulisi kulusid meetmetega eeldatavast ei kaasne ning autokasutuse kulude vähenemise tõttu on vältimiskulu negatiivne.</a:t>
          </a:r>
          <a:endParaRPr lang="et-EE" sz="105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398319</xdr:colOff>
      <xdr:row>4</xdr:row>
      <xdr:rowOff>31173</xdr:rowOff>
    </xdr:from>
    <xdr:to>
      <xdr:col>21</xdr:col>
      <xdr:colOff>133350</xdr:colOff>
      <xdr:row>26</xdr:row>
      <xdr:rowOff>152400</xdr:rowOff>
    </xdr:to>
    <xdr:sp macro="" textlink="">
      <xdr:nvSpPr>
        <xdr:cNvPr id="2" name="TextBox 1">
          <a:extLst>
            <a:ext uri="{FF2B5EF4-FFF2-40B4-BE49-F238E27FC236}">
              <a16:creationId xmlns:a16="http://schemas.microsoft.com/office/drawing/2014/main" id="{C206D2DC-C750-4086-93D2-F594DE58BE14}"/>
            </a:ext>
          </a:extLst>
        </xdr:cNvPr>
        <xdr:cNvSpPr txBox="1"/>
      </xdr:nvSpPr>
      <xdr:spPr>
        <a:xfrm>
          <a:off x="10723419" y="802698"/>
          <a:ext cx="6173931" cy="33025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b="1">
              <a:solidFill>
                <a:schemeClr val="dk1"/>
              </a:solidFill>
              <a:effectLst/>
              <a:latin typeface="+mn-lt"/>
              <a:ea typeface="+mn-ea"/>
              <a:cs typeface="+mn-cs"/>
            </a:rPr>
            <a:t>Maksumused info</a:t>
          </a:r>
        </a:p>
        <a:p>
          <a:r>
            <a:rPr lang="et-EE" sz="1050">
              <a:solidFill>
                <a:schemeClr val="dk1"/>
              </a:solidFill>
              <a:effectLst/>
              <a:latin typeface="+mn-lt"/>
              <a:ea typeface="+mn-ea"/>
              <a:cs typeface="+mn-cs"/>
            </a:rPr>
            <a:t>Maksumused varieeruvad sõltuvalt</a:t>
          </a:r>
          <a:r>
            <a:rPr lang="et-EE" sz="1050" baseline="0">
              <a:solidFill>
                <a:schemeClr val="dk1"/>
              </a:solidFill>
              <a:effectLst/>
              <a:latin typeface="+mn-lt"/>
              <a:ea typeface="+mn-ea"/>
              <a:cs typeface="+mn-cs"/>
            </a:rPr>
            <a:t> rajamise keerukusest 1-9 mln USD </a:t>
          </a:r>
        </a:p>
        <a:p>
          <a:r>
            <a:rPr lang="et-EE" sz="1050" i="1"/>
            <a:t>https://itf-oecd.org/node/25176?utm_source=chatgpt.com</a:t>
          </a:r>
        </a:p>
        <a:p>
          <a:r>
            <a:rPr lang="et-EE" sz="1050"/>
            <a:t>Pirita</a:t>
          </a:r>
          <a:r>
            <a:rPr lang="et-EE" sz="1050" baseline="0"/>
            <a:t> tee ühistranspordiraja 2,1 km pikkune lõik läks maksma 2,56 m€</a:t>
          </a:r>
        </a:p>
        <a:p>
          <a:r>
            <a:rPr lang="et-EE" sz="1050" i="1"/>
            <a:t>https://www.err.ee/1192375/fotod-tallinnas-valmis-pirita-tee-uhistranspordirada</a:t>
          </a:r>
        </a:p>
        <a:p>
          <a:endParaRPr lang="et-EE" sz="1050" b="1"/>
        </a:p>
        <a:p>
          <a:r>
            <a:rPr lang="et-EE" sz="1050" b="1"/>
            <a:t>Ülalpidamiskulud</a:t>
          </a:r>
        </a:p>
        <a:p>
          <a:r>
            <a:rPr lang="et-EE" sz="1050"/>
            <a:t>Sõiduraja hooldus ja remont - kui on tegemist lisanduva teepinnaga: XX €/km/a</a:t>
          </a:r>
        </a:p>
        <a:p>
          <a:endParaRPr lang="et-EE" sz="1050" b="1"/>
        </a:p>
        <a:p>
          <a:r>
            <a:rPr lang="et-EE" sz="1050" b="1"/>
            <a:t>Mõju</a:t>
          </a:r>
          <a:r>
            <a:rPr lang="et-EE" sz="1050" b="1" baseline="0"/>
            <a:t> ühistranspordi kasutusele (CO2 vähenemisele)</a:t>
          </a:r>
        </a:p>
        <a:p>
          <a:r>
            <a:rPr lang="et-EE" sz="1050" b="0" baseline="0"/>
            <a:t>1. </a:t>
          </a:r>
          <a:r>
            <a:rPr lang="et-EE" sz="1050"/>
            <a:t>King County, Washington, USA: sõitjate</a:t>
          </a:r>
          <a:r>
            <a:rPr lang="et-EE" sz="1050" baseline="0"/>
            <a:t> arv </a:t>
          </a:r>
          <a:r>
            <a:rPr lang="et-EE" sz="1050" b="1" baseline="0"/>
            <a:t>+35%</a:t>
          </a:r>
        </a:p>
        <a:p>
          <a:r>
            <a:rPr lang="et-EE" sz="1050" i="1" baseline="0"/>
            <a:t>https://www.worldtransitresearch.info/research/6478/?utm_source=chatgpt.com</a:t>
          </a:r>
        </a:p>
        <a:p>
          <a:r>
            <a:rPr lang="et-EE" sz="1050" b="0" baseline="0"/>
            <a:t>2. </a:t>
          </a:r>
          <a:r>
            <a:rPr lang="et-EE" sz="1050"/>
            <a:t>Rooma, Itaalia: bussikasutus tõusis </a:t>
          </a:r>
          <a:r>
            <a:rPr lang="et-EE" sz="1050" b="1"/>
            <a:t>~ 26 %</a:t>
          </a:r>
          <a:r>
            <a:rPr lang="et-EE" sz="1050"/>
            <a:t>. Modaalne osakaal (ühistransport vs muu) kasvas </a:t>
          </a:r>
          <a:r>
            <a:rPr lang="et-EE" sz="1050" b="1"/>
            <a:t>~ 29 %‑</a:t>
          </a:r>
          <a:r>
            <a:rPr lang="et-EE" sz="1050"/>
            <a:t>lt ~ 40 %‑le</a:t>
          </a:r>
        </a:p>
        <a:p>
          <a:r>
            <a:rPr lang="et-EE" sz="1050" b="0" i="1" baseline="0"/>
            <a:t>https://www.researchgate.net/publication/360607984_Dedicated_bus_lanes_bus_speed_and_traffic_congestion_in_Rome</a:t>
          </a:r>
        </a:p>
        <a:p>
          <a:r>
            <a:rPr lang="et-EE" sz="1050" b="0" i="1" baseline="0"/>
            <a:t>3. </a:t>
          </a:r>
          <a:r>
            <a:rPr lang="et-EE" sz="1050"/>
            <a:t>Twin Cities, Minnesota, USA: prognoos </a:t>
          </a:r>
          <a:r>
            <a:rPr lang="et-EE" sz="1050" b="1"/>
            <a:t>~ 3,68 miljonit</a:t>
          </a:r>
          <a:r>
            <a:rPr lang="et-EE" sz="1050"/>
            <a:t> täiendavat sõitu aastas, mis tähendab umbes </a:t>
          </a:r>
          <a:r>
            <a:rPr lang="et-EE" sz="1050" b="1"/>
            <a:t>10 %</a:t>
          </a:r>
          <a:r>
            <a:rPr lang="et-EE" sz="1050"/>
            <a:t>‑list kasvu</a:t>
          </a:r>
        </a:p>
        <a:p>
          <a:r>
            <a:rPr lang="et-EE" sz="1050" b="0" i="1" baseline="0"/>
            <a:t>https://www.cts.umn.edu/news-pubs/news/2024/june/transitlanes?utm_source=chatgpt.com</a:t>
          </a:r>
        </a:p>
        <a:p>
          <a:endParaRPr lang="et-EE" sz="105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342900</xdr:colOff>
      <xdr:row>27</xdr:row>
      <xdr:rowOff>95251</xdr:rowOff>
    </xdr:from>
    <xdr:to>
      <xdr:col>12</xdr:col>
      <xdr:colOff>104775</xdr:colOff>
      <xdr:row>32</xdr:row>
      <xdr:rowOff>152401</xdr:rowOff>
    </xdr:to>
    <xdr:sp macro="" textlink="">
      <xdr:nvSpPr>
        <xdr:cNvPr id="2" name="TextBox 1">
          <a:extLst>
            <a:ext uri="{FF2B5EF4-FFF2-40B4-BE49-F238E27FC236}">
              <a16:creationId xmlns:a16="http://schemas.microsoft.com/office/drawing/2014/main" id="{58A437C5-4019-4DF4-8BB0-603271A46A3E}"/>
            </a:ext>
          </a:extLst>
        </xdr:cNvPr>
        <xdr:cNvSpPr txBox="1"/>
      </xdr:nvSpPr>
      <xdr:spPr>
        <a:xfrm>
          <a:off x="6572250" y="4991101"/>
          <a:ext cx="3857625" cy="100965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Munitsipaaltrasnpordi</a:t>
          </a:r>
          <a:r>
            <a:rPr lang="et-EE" sz="1050" baseline="0"/>
            <a:t> heide on suhteliselt väike - 2021.a alla 600t CO2. Seega on ka meetme mõju piiratud. Eeldatud on, et munitsipaaltrasnport elektrifitseeritakse. Meetmel on negatiivne vältimiskulu kuna elektrisõidukite ülalpidamiskulu on madalam kui sisepõlemismootoriga sõidukitel.</a:t>
          </a:r>
          <a:endParaRPr lang="et-EE" sz="105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687042</xdr:colOff>
      <xdr:row>32</xdr:row>
      <xdr:rowOff>171863</xdr:rowOff>
    </xdr:from>
    <xdr:to>
      <xdr:col>21</xdr:col>
      <xdr:colOff>619125</xdr:colOff>
      <xdr:row>48</xdr:row>
      <xdr:rowOff>48039</xdr:rowOff>
    </xdr:to>
    <xdr:sp macro="" textlink="">
      <xdr:nvSpPr>
        <xdr:cNvPr id="2" name="TextBox 1">
          <a:extLst>
            <a:ext uri="{FF2B5EF4-FFF2-40B4-BE49-F238E27FC236}">
              <a16:creationId xmlns:a16="http://schemas.microsoft.com/office/drawing/2014/main" id="{BC31C4C8-512B-F162-F608-FE815A4B43A3}"/>
            </a:ext>
          </a:extLst>
        </xdr:cNvPr>
        <xdr:cNvSpPr txBox="1"/>
      </xdr:nvSpPr>
      <xdr:spPr>
        <a:xfrm>
          <a:off x="11374092" y="6477413"/>
          <a:ext cx="6218583" cy="2876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b="1">
              <a:solidFill>
                <a:schemeClr val="dk1"/>
              </a:solidFill>
              <a:effectLst/>
              <a:latin typeface="+mn-lt"/>
              <a:ea typeface="+mn-ea"/>
              <a:cs typeface="+mn-cs"/>
            </a:rPr>
            <a:t>Elektrumi arvutuskäik:</a:t>
          </a:r>
        </a:p>
        <a:p>
          <a:pPr lvl="0"/>
          <a:r>
            <a:rPr lang="et-EE" sz="1050" b="1">
              <a:solidFill>
                <a:schemeClr val="dk1"/>
              </a:solidFill>
              <a:effectLst/>
              <a:latin typeface="+mn-lt"/>
              <a:ea typeface="+mn-ea"/>
              <a:cs typeface="+mn-cs"/>
            </a:rPr>
            <a:t>* 150 kW kiirlaadija </a:t>
          </a:r>
          <a:r>
            <a:rPr lang="et-EE" sz="1050" b="0">
              <a:solidFill>
                <a:schemeClr val="dk1"/>
              </a:solidFill>
              <a:effectLst/>
              <a:latin typeface="+mn-lt"/>
              <a:ea typeface="+mn-ea"/>
              <a:cs typeface="+mn-cs"/>
            </a:rPr>
            <a:t>=</a:t>
          </a:r>
          <a:r>
            <a:rPr lang="et-EE" sz="1050">
              <a:solidFill>
                <a:schemeClr val="dk1"/>
              </a:solidFill>
              <a:effectLst/>
              <a:latin typeface="+mn-lt"/>
              <a:ea typeface="+mn-ea"/>
              <a:cs typeface="+mn-cs"/>
            </a:rPr>
            <a:t> 83 000€ / 60% = </a:t>
          </a:r>
          <a:r>
            <a:rPr lang="et-EE" sz="1050" b="1">
              <a:solidFill>
                <a:schemeClr val="dk1"/>
              </a:solidFill>
              <a:effectLst/>
              <a:latin typeface="+mn-lt"/>
              <a:ea typeface="+mn-ea"/>
              <a:cs typeface="+mn-cs"/>
            </a:rPr>
            <a:t>ca 140 000 €</a:t>
          </a:r>
          <a:r>
            <a:rPr lang="et-EE" sz="1050">
              <a:solidFill>
                <a:schemeClr val="dk1"/>
              </a:solidFill>
              <a:effectLst/>
              <a:latin typeface="+mn-lt"/>
              <a:ea typeface="+mn-ea"/>
              <a:cs typeface="+mn-cs"/>
            </a:rPr>
            <a:t>, ehk ca </a:t>
          </a:r>
          <a:r>
            <a:rPr lang="et-EE" sz="1050" b="1">
              <a:solidFill>
                <a:schemeClr val="dk1"/>
              </a:solidFill>
              <a:effectLst/>
              <a:latin typeface="+mn-lt"/>
              <a:ea typeface="+mn-ea"/>
              <a:cs typeface="+mn-cs"/>
            </a:rPr>
            <a:t>900 €/kW </a:t>
          </a:r>
          <a:r>
            <a:rPr lang="et-EE" sz="1050">
              <a:solidFill>
                <a:schemeClr val="dk1"/>
              </a:solidFill>
              <a:effectLst/>
              <a:latin typeface="+mn-lt"/>
              <a:ea typeface="+mn-ea"/>
              <a:cs typeface="+mn-cs"/>
            </a:rPr>
            <a:t>kohta (üks 150 kW seade koos paigaldusega on 140-83=57)</a:t>
          </a:r>
        </a:p>
        <a:p>
          <a:pPr lvl="0"/>
          <a:r>
            <a:rPr lang="et-EE" sz="1050">
              <a:solidFill>
                <a:schemeClr val="dk1"/>
              </a:solidFill>
              <a:effectLst/>
              <a:latin typeface="+mn-lt"/>
              <a:ea typeface="+mn-ea"/>
              <a:cs typeface="+mn-cs"/>
            </a:rPr>
            <a:t>* </a:t>
          </a:r>
          <a:r>
            <a:rPr lang="et-EE" sz="1050" b="1">
              <a:solidFill>
                <a:schemeClr val="dk1"/>
              </a:solidFill>
              <a:effectLst/>
              <a:latin typeface="+mn-lt"/>
              <a:ea typeface="+mn-ea"/>
              <a:cs typeface="+mn-cs"/>
            </a:rPr>
            <a:t>300 kW kiirlaadija </a:t>
          </a:r>
          <a:r>
            <a:rPr lang="et-EE" sz="1050" b="0">
              <a:solidFill>
                <a:schemeClr val="dk1"/>
              </a:solidFill>
              <a:effectLst/>
              <a:latin typeface="+mn-lt"/>
              <a:ea typeface="+mn-ea"/>
              <a:cs typeface="+mn-cs"/>
            </a:rPr>
            <a:t>=</a:t>
          </a:r>
          <a:r>
            <a:rPr lang="et-EE" sz="1050">
              <a:solidFill>
                <a:schemeClr val="dk1"/>
              </a:solidFill>
              <a:effectLst/>
              <a:latin typeface="+mn-lt"/>
              <a:ea typeface="+mn-ea"/>
              <a:cs typeface="+mn-cs"/>
            </a:rPr>
            <a:t> 166 000€ / 70% = ca 237 000 €, ehk ca </a:t>
          </a:r>
          <a:r>
            <a:rPr lang="et-EE" sz="1050" b="1">
              <a:solidFill>
                <a:schemeClr val="dk1"/>
              </a:solidFill>
              <a:effectLst/>
              <a:latin typeface="+mn-lt"/>
              <a:ea typeface="+mn-ea"/>
              <a:cs typeface="+mn-cs"/>
            </a:rPr>
            <a:t>800 €/kW </a:t>
          </a:r>
          <a:r>
            <a:rPr lang="et-EE" sz="1050">
              <a:solidFill>
                <a:schemeClr val="dk1"/>
              </a:solidFill>
              <a:effectLst/>
              <a:latin typeface="+mn-lt"/>
              <a:ea typeface="+mn-ea"/>
              <a:cs typeface="+mn-cs"/>
            </a:rPr>
            <a:t>kohta</a:t>
          </a:r>
        </a:p>
        <a:p>
          <a:r>
            <a:rPr lang="et-EE" sz="1050">
              <a:solidFill>
                <a:schemeClr val="dk1"/>
              </a:solidFill>
              <a:effectLst/>
              <a:latin typeface="+mn-lt"/>
              <a:ea typeface="+mn-ea"/>
              <a:cs typeface="+mn-cs"/>
            </a:rPr>
            <a:t>Kui arvestada, et laadimispargis on 4 tk kiirlaadijaid (näiteks @ 150 kW), siis võetakse liitumisvõimsuseks ca 75% võrreldes seadmete summaarse võimsusega (ehk 3 laadija liitumisvõimsus 4-le laadijale), siis oleks nii:</a:t>
          </a:r>
        </a:p>
        <a:p>
          <a:pPr lvl="0"/>
          <a:r>
            <a:rPr lang="et-EE" sz="1050">
              <a:solidFill>
                <a:schemeClr val="dk1"/>
              </a:solidFill>
              <a:effectLst/>
              <a:latin typeface="+mn-lt"/>
              <a:ea typeface="+mn-ea"/>
              <a:cs typeface="+mn-cs"/>
            </a:rPr>
            <a:t>600 kW laadimispark 83+83+83+57+57+57+57= 477 tuhat € ehk ca 700 €/kW kohta ehk tinglikult 105 000 € ühe kiirlaadija kohta.</a:t>
          </a:r>
        </a:p>
        <a:p>
          <a:endParaRPr lang="et-EE" sz="1050" u="none">
            <a:solidFill>
              <a:schemeClr val="dk1"/>
            </a:solidFill>
            <a:effectLst/>
            <a:latin typeface="+mn-lt"/>
            <a:ea typeface="+mn-ea"/>
            <a:cs typeface="+mn-cs"/>
          </a:endParaRPr>
        </a:p>
        <a:p>
          <a:r>
            <a:rPr lang="et-EE" sz="1050" b="1" u="none">
              <a:solidFill>
                <a:schemeClr val="dk1"/>
              </a:solidFill>
              <a:effectLst/>
              <a:latin typeface="+mn-lt"/>
              <a:ea typeface="+mn-ea"/>
              <a:cs typeface="+mn-cs"/>
            </a:rPr>
            <a:t>20 laadijat 1000 auto kohta</a:t>
          </a:r>
          <a:r>
            <a:rPr lang="et-EE" sz="1050" u="none">
              <a:solidFill>
                <a:schemeClr val="dk1"/>
              </a:solidFill>
              <a:effectLst/>
              <a:latin typeface="+mn-lt"/>
              <a:ea typeface="+mn-ea"/>
              <a:cs typeface="+mn-cs"/>
            </a:rPr>
            <a:t>. EL soovitus on 1 laadija 10 elektriauto kohta. Allikas:</a:t>
          </a:r>
        </a:p>
        <a:p>
          <a:r>
            <a:rPr lang="et-EE" sz="1050" u="none">
              <a:solidFill>
                <a:schemeClr val="dk1"/>
              </a:solidFill>
              <a:effectLst/>
              <a:latin typeface="+mn-lt"/>
              <a:ea typeface="+mn-ea"/>
              <a:cs typeface="+mn-cs"/>
            </a:rPr>
            <a:t>https://www.eea.europa.eu/en/analysis/publications/sustainability-of-europes-mobility-systems/energy-infrastructure</a:t>
          </a:r>
        </a:p>
        <a:p>
          <a:endParaRPr lang="et-EE" sz="1050" u="none">
            <a:solidFill>
              <a:schemeClr val="dk1"/>
            </a:solidFill>
            <a:effectLst/>
            <a:latin typeface="+mn-lt"/>
            <a:ea typeface="+mn-ea"/>
            <a:cs typeface="+mn-cs"/>
          </a:endParaRPr>
        </a:p>
        <a:p>
          <a:r>
            <a:rPr lang="et-EE" sz="1050" b="1" u="none">
              <a:solidFill>
                <a:schemeClr val="dk1"/>
              </a:solidFill>
              <a:effectLst/>
              <a:latin typeface="+mn-lt"/>
              <a:ea typeface="+mn-ea"/>
              <a:cs typeface="+mn-cs"/>
            </a:rPr>
            <a:t>Meede</a:t>
          </a:r>
          <a:r>
            <a:rPr lang="et-EE" sz="1050" u="none">
              <a:solidFill>
                <a:schemeClr val="dk1"/>
              </a:solidFill>
              <a:effectLst/>
              <a:latin typeface="+mn-lt"/>
              <a:ea typeface="+mn-ea"/>
              <a:cs typeface="+mn-cs"/>
            </a:rPr>
            <a:t>: oluline on</a:t>
          </a:r>
          <a:r>
            <a:rPr lang="et-EE" sz="1050" u="none" baseline="0">
              <a:solidFill>
                <a:schemeClr val="dk1"/>
              </a:solidFill>
              <a:effectLst/>
              <a:latin typeface="+mn-lt"/>
              <a:ea typeface="+mn-ea"/>
              <a:cs typeface="+mn-cs"/>
            </a:rPr>
            <a:t> saavutada laadijate arvu mingi sihttase teadud aastate jooksul (nt 300 laadijat 5a-ga), mitte piiruda ühe aasta ja väiksema arvu laadijatega (nt 1a 50 laadijat), oluline on võrgu tihedus.</a:t>
          </a:r>
        </a:p>
        <a:p>
          <a:r>
            <a:rPr lang="et-EE" sz="1050" u="none" baseline="0">
              <a:solidFill>
                <a:schemeClr val="dk1"/>
              </a:solidFill>
              <a:effectLst/>
              <a:latin typeface="+mn-lt"/>
              <a:ea typeface="+mn-ea"/>
              <a:cs typeface="+mn-cs"/>
            </a:rPr>
            <a:t>Alguses on vaja ka muid soodustusi elektriuautodele.</a:t>
          </a:r>
          <a:endParaRPr lang="et-EE" sz="1050" u="none">
            <a:solidFill>
              <a:schemeClr val="dk1"/>
            </a:solidFill>
            <a:effectLst/>
            <a:latin typeface="+mn-lt"/>
            <a:ea typeface="+mn-ea"/>
            <a:cs typeface="+mn-cs"/>
          </a:endParaRPr>
        </a:p>
        <a:p>
          <a:endParaRPr lang="et-EE" sz="1050"/>
        </a:p>
      </xdr:txBody>
    </xdr:sp>
    <xdr:clientData/>
  </xdr:twoCellAnchor>
  <xdr:twoCellAnchor>
    <xdr:from>
      <xdr:col>6</xdr:col>
      <xdr:colOff>390524</xdr:colOff>
      <xdr:row>35</xdr:row>
      <xdr:rowOff>76199</xdr:rowOff>
    </xdr:from>
    <xdr:to>
      <xdr:col>11</xdr:col>
      <xdr:colOff>733424</xdr:colOff>
      <xdr:row>42</xdr:row>
      <xdr:rowOff>47624</xdr:rowOff>
    </xdr:to>
    <xdr:sp macro="" textlink="">
      <xdr:nvSpPr>
        <xdr:cNvPr id="3" name="TextBox 2">
          <a:extLst>
            <a:ext uri="{FF2B5EF4-FFF2-40B4-BE49-F238E27FC236}">
              <a16:creationId xmlns:a16="http://schemas.microsoft.com/office/drawing/2014/main" id="{D4C1184E-1166-4ACE-8904-D5A4E38913C0}"/>
            </a:ext>
          </a:extLst>
        </xdr:cNvPr>
        <xdr:cNvSpPr txBox="1"/>
      </xdr:nvSpPr>
      <xdr:spPr>
        <a:xfrm>
          <a:off x="6981824" y="6886574"/>
          <a:ext cx="3667125" cy="130492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Kütuste vahetus on kõige tõhusam</a:t>
          </a:r>
          <a:r>
            <a:rPr lang="et-EE" sz="1050" baseline="0"/>
            <a:t> KHG vähendamise meede - sõidukite elektrifitseerimisel peab seejuures kehtima eeldus, et kasutatav elekter muutub aja jooksul puhtaks.</a:t>
          </a:r>
        </a:p>
        <a:p>
          <a:r>
            <a:rPr lang="et-EE" sz="1050" baseline="0"/>
            <a:t>Välitimiskulu tuli negatiivne, kuna linna laadimisvõrgu rajamine osutus tasuvaks. Samas on selle kasutamise intensiivsust siiski keeruline prognoosida. Arendamisel on mitu erataristut - linna taristu võib tekitada ebavõrdset konkurentsi.</a:t>
          </a:r>
          <a:endParaRPr lang="et-EE" sz="105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381000</xdr:colOff>
      <xdr:row>19</xdr:row>
      <xdr:rowOff>47625</xdr:rowOff>
    </xdr:from>
    <xdr:to>
      <xdr:col>11</xdr:col>
      <xdr:colOff>723900</xdr:colOff>
      <xdr:row>26</xdr:row>
      <xdr:rowOff>9525</xdr:rowOff>
    </xdr:to>
    <xdr:sp macro="" textlink="">
      <xdr:nvSpPr>
        <xdr:cNvPr id="2" name="TextBox 1">
          <a:extLst>
            <a:ext uri="{FF2B5EF4-FFF2-40B4-BE49-F238E27FC236}">
              <a16:creationId xmlns:a16="http://schemas.microsoft.com/office/drawing/2014/main" id="{2F811EE0-B5EF-4038-9E2E-61E0C67A1C2B}"/>
            </a:ext>
          </a:extLst>
        </xdr:cNvPr>
        <xdr:cNvSpPr txBox="1"/>
      </xdr:nvSpPr>
      <xdr:spPr>
        <a:xfrm>
          <a:off x="6848475" y="3400425"/>
          <a:ext cx="3667125" cy="130492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00"/>
            <a:t>Süsiniku sidumise meetmed on koondatud ühte arvutusse - need</a:t>
          </a:r>
          <a:r>
            <a:rPr lang="et-EE" sz="1000" baseline="0"/>
            <a:t> meetmed suurendavad rohealade pinda ning arvestuse aluseks on võetud ühe hektari süsiniku sidumise võime. Kõik meetmed tuleb ümber arvestada nn tinghektarile meetme süsiniku sidumise võime järgi.</a:t>
          </a:r>
        </a:p>
        <a:p>
          <a:r>
            <a:rPr lang="et-EE" sz="1000" baseline="0"/>
            <a:t>Meetme kulud (hljastuse rajamine ja hooldamine) on eelduse kohaselt suhteliselt madalad.</a:t>
          </a:r>
          <a:endParaRPr lang="et-EE" sz="10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6</xdr:col>
      <xdr:colOff>304800</xdr:colOff>
      <xdr:row>23</xdr:row>
      <xdr:rowOff>76200</xdr:rowOff>
    </xdr:from>
    <xdr:to>
      <xdr:col>12</xdr:col>
      <xdr:colOff>74543</xdr:colOff>
      <xdr:row>29</xdr:row>
      <xdr:rowOff>82826</xdr:rowOff>
    </xdr:to>
    <xdr:sp macro="" textlink="">
      <xdr:nvSpPr>
        <xdr:cNvPr id="2" name="TextBox 1">
          <a:extLst>
            <a:ext uri="{FF2B5EF4-FFF2-40B4-BE49-F238E27FC236}">
              <a16:creationId xmlns:a16="http://schemas.microsoft.com/office/drawing/2014/main" id="{586783C9-87D4-470C-9ADA-921D0C41443D}"/>
            </a:ext>
          </a:extLst>
        </xdr:cNvPr>
        <xdr:cNvSpPr txBox="1"/>
      </xdr:nvSpPr>
      <xdr:spPr>
        <a:xfrm>
          <a:off x="6773517" y="5219700"/>
          <a:ext cx="3853069" cy="1157909"/>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00"/>
            <a:t>Linnaruumi</a:t>
          </a:r>
          <a:r>
            <a:rPr lang="et-EE" sz="1000" baseline="0"/>
            <a:t> kujundamise - eelkõige tihendamise - meetme mõju ja maksumnust on keeruline hinnata.  Eeldatud on, et linna tihendamine on majanduslikult tasuv ning sellega ei kaasne lisakulusid. </a:t>
          </a:r>
        </a:p>
        <a:p>
          <a:r>
            <a:rPr lang="et-EE" sz="1000" baseline="0"/>
            <a:t>Kulude kokkuhoid tekib autokasutuse vähenemisest. Ühistranspordi tihendamist selle meetmega seoses ette ei nähutd. Meede on seega hinnanguliselt kulutõhus.</a:t>
          </a:r>
          <a:endParaRPr lang="et-EE" sz="10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523875</xdr:colOff>
      <xdr:row>14</xdr:row>
      <xdr:rowOff>19050</xdr:rowOff>
    </xdr:from>
    <xdr:to>
      <xdr:col>22</xdr:col>
      <xdr:colOff>304800</xdr:colOff>
      <xdr:row>33</xdr:row>
      <xdr:rowOff>171450</xdr:rowOff>
    </xdr:to>
    <xdr:sp macro="" textlink="">
      <xdr:nvSpPr>
        <xdr:cNvPr id="2" name="TextBox 1">
          <a:extLst>
            <a:ext uri="{FF2B5EF4-FFF2-40B4-BE49-F238E27FC236}">
              <a16:creationId xmlns:a16="http://schemas.microsoft.com/office/drawing/2014/main" id="{8B0C9696-8B54-2DF8-7684-15F0752970FC}"/>
            </a:ext>
          </a:extLst>
        </xdr:cNvPr>
        <xdr:cNvSpPr txBox="1"/>
      </xdr:nvSpPr>
      <xdr:spPr>
        <a:xfrm>
          <a:off x="12630150" y="2486025"/>
          <a:ext cx="5181600" cy="3714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00" b="1"/>
            <a:t>MEETODID</a:t>
          </a:r>
        </a:p>
        <a:p>
          <a:r>
            <a:rPr lang="et-EE" sz="1000" b="1"/>
            <a:t>1. Solvent-Based Post-Combustion Capture (Amine Scrubbing)</a:t>
          </a:r>
        </a:p>
        <a:p>
          <a:r>
            <a:rPr lang="et-EE" sz="1000" b="1" i="1"/>
            <a:t>Pros</a:t>
          </a:r>
          <a:r>
            <a:rPr lang="et-EE" sz="1000" i="1"/>
            <a:t>:</a:t>
          </a:r>
        </a:p>
        <a:p>
          <a:r>
            <a:rPr lang="et-EE" sz="1000"/>
            <a:t>* Can be retrofitted to existing plants.</a:t>
          </a:r>
        </a:p>
        <a:p>
          <a:r>
            <a:rPr lang="et-EE" sz="1000"/>
            <a:t>* High capture efficiency (~90%).</a:t>
          </a:r>
        </a:p>
        <a:p>
          <a:r>
            <a:rPr lang="et-EE" sz="1000" b="1" i="1"/>
            <a:t>Cons</a:t>
          </a:r>
          <a:r>
            <a:rPr lang="et-EE" sz="1000" b="0"/>
            <a:t>:</a:t>
          </a:r>
        </a:p>
        <a:p>
          <a:r>
            <a:rPr lang="et-EE" sz="1000"/>
            <a:t>*Energy-intensive (regeneration of solvent).</a:t>
          </a:r>
        </a:p>
        <a:p>
          <a:r>
            <a:rPr lang="et-EE" sz="1000"/>
            <a:t>*Requires maintenance for solvent degradation.</a:t>
          </a:r>
        </a:p>
        <a:p>
          <a:endParaRPr lang="et-EE" sz="1000"/>
        </a:p>
        <a:p>
          <a:r>
            <a:rPr lang="et-EE" sz="1000" b="1"/>
            <a:t>2. Pressure Swing Adsorption (PSA)</a:t>
          </a:r>
        </a:p>
        <a:p>
          <a:r>
            <a:rPr lang="et-EE" sz="1000" b="1" i="1"/>
            <a:t>Pros</a:t>
          </a:r>
          <a:r>
            <a:rPr lang="et-EE" sz="1000" i="1"/>
            <a:t>:</a:t>
          </a:r>
        </a:p>
        <a:p>
          <a:r>
            <a:rPr lang="et-EE" sz="1000"/>
            <a:t>Lower energy requirements compared to amine scrubbing for high-concentration CO₂.</a:t>
          </a:r>
        </a:p>
        <a:p>
          <a:r>
            <a:rPr lang="et-EE" sz="1000"/>
            <a:t>Compact and modular systems.</a:t>
          </a:r>
        </a:p>
        <a:p>
          <a:r>
            <a:rPr lang="et-EE" sz="1000" b="1" i="1"/>
            <a:t>Cons</a:t>
          </a:r>
          <a:r>
            <a:rPr lang="et-EE" sz="1000" i="1"/>
            <a:t>:</a:t>
          </a:r>
        </a:p>
        <a:p>
          <a:r>
            <a:rPr lang="et-EE" sz="1000"/>
            <a:t>Not suitable for dilute CO₂ streams (like flue gases from combustion).</a:t>
          </a:r>
        </a:p>
        <a:p>
          <a:endParaRPr lang="et-EE" sz="1000"/>
        </a:p>
        <a:p>
          <a:r>
            <a:rPr lang="et-EE" sz="1000" b="1"/>
            <a:t>3. Membrane Separation</a:t>
          </a:r>
        </a:p>
        <a:p>
          <a:r>
            <a:rPr lang="et-EE" sz="1000" b="1"/>
            <a:t>Pros</a:t>
          </a:r>
          <a:r>
            <a:rPr lang="et-EE" sz="1000"/>
            <a:t>:</a:t>
          </a:r>
        </a:p>
        <a:p>
          <a:r>
            <a:rPr lang="et-EE" sz="1000"/>
            <a:t>Compact and modular.</a:t>
          </a:r>
        </a:p>
        <a:p>
          <a:r>
            <a:rPr lang="et-EE" sz="1000"/>
            <a:t>Lower maintenance and no chemicals.</a:t>
          </a:r>
        </a:p>
        <a:p>
          <a:r>
            <a:rPr lang="et-EE" sz="1000" b="1"/>
            <a:t>Cons</a:t>
          </a:r>
          <a:r>
            <a:rPr lang="et-EE" sz="1000"/>
            <a:t>:</a:t>
          </a:r>
        </a:p>
        <a:p>
          <a:r>
            <a:rPr lang="et-EE" sz="1000"/>
            <a:t>Less efficient for low-concentration CO₂.</a:t>
          </a:r>
        </a:p>
        <a:p>
          <a:r>
            <a:rPr lang="et-EE" sz="1000"/>
            <a:t>Membrane degradation over time.</a:t>
          </a:r>
        </a:p>
        <a:p>
          <a:endParaRPr lang="et-EE" sz="1000"/>
        </a:p>
        <a:p>
          <a:endParaRPr lang="et-EE" sz="1000"/>
        </a:p>
      </xdr:txBody>
    </xdr:sp>
    <xdr:clientData/>
  </xdr:twoCellAnchor>
  <xdr:twoCellAnchor>
    <xdr:from>
      <xdr:col>6</xdr:col>
      <xdr:colOff>523874</xdr:colOff>
      <xdr:row>23</xdr:row>
      <xdr:rowOff>76200</xdr:rowOff>
    </xdr:from>
    <xdr:to>
      <xdr:col>12</xdr:col>
      <xdr:colOff>180975</xdr:colOff>
      <xdr:row>31</xdr:row>
      <xdr:rowOff>28575</xdr:rowOff>
    </xdr:to>
    <xdr:sp macro="" textlink="">
      <xdr:nvSpPr>
        <xdr:cNvPr id="4" name="TextBox 3">
          <a:extLst>
            <a:ext uri="{FF2B5EF4-FFF2-40B4-BE49-F238E27FC236}">
              <a16:creationId xmlns:a16="http://schemas.microsoft.com/office/drawing/2014/main" id="{704280CF-4B56-4388-9006-D1C161DE5489}"/>
            </a:ext>
          </a:extLst>
        </xdr:cNvPr>
        <xdr:cNvSpPr txBox="1"/>
      </xdr:nvSpPr>
      <xdr:spPr>
        <a:xfrm>
          <a:off x="6991349" y="4191000"/>
          <a:ext cx="3752851" cy="148590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Tööstussektor</a:t>
          </a:r>
          <a:r>
            <a:rPr lang="et-EE" sz="1050" baseline="0"/>
            <a:t> emiteeris soojuse tarbimisest 2021.a 27,5 tuh t CO2.  Keeruline on hinnata, kui suur osa sellest on kinni püütav süsiniku püüdmise seadmetega.  Tõhusam meede oleks kütuste vahetus aga tööstuslikul tarbimisel võib see olla keeruline. Realistili oleks näiteks maagaasi asendamine biometaaniga, juhul kui see oleks majanduslikult otstarbekas. ETS2 süsteemi rakendamine võib püüdmise või biometaani kasutamise muuta tasuvaks.</a:t>
          </a:r>
        </a:p>
        <a:p>
          <a:r>
            <a:rPr lang="et-EE" sz="1050" baseline="0"/>
            <a:t>Kulud on arvestatud erinevate tehnoloogiliste alternatiivide kaudu.</a:t>
          </a:r>
          <a:endParaRPr lang="et-EE" sz="1050"/>
        </a:p>
      </xdr:txBody>
    </xdr:sp>
    <xdr:clientData/>
  </xdr:twoCellAnchor>
  <xdr:twoCellAnchor editAs="oneCell">
    <xdr:from>
      <xdr:col>23</xdr:col>
      <xdr:colOff>0</xdr:colOff>
      <xdr:row>17</xdr:row>
      <xdr:rowOff>0</xdr:rowOff>
    </xdr:from>
    <xdr:to>
      <xdr:col>29</xdr:col>
      <xdr:colOff>515495</xdr:colOff>
      <xdr:row>27</xdr:row>
      <xdr:rowOff>50357</xdr:rowOff>
    </xdr:to>
    <xdr:pic>
      <xdr:nvPicPr>
        <xdr:cNvPr id="5" name="Picture 4">
          <a:extLst>
            <a:ext uri="{FF2B5EF4-FFF2-40B4-BE49-F238E27FC236}">
              <a16:creationId xmlns:a16="http://schemas.microsoft.com/office/drawing/2014/main" id="{496D8664-1EA6-4A5B-8E97-28C86FA20D73}"/>
            </a:ext>
          </a:extLst>
        </xdr:cNvPr>
        <xdr:cNvPicPr>
          <a:picLocks noChangeAspect="1"/>
        </xdr:cNvPicPr>
      </xdr:nvPicPr>
      <xdr:blipFill>
        <a:blip xmlns:r="http://schemas.openxmlformats.org/officeDocument/2006/relationships" r:embed="rId1"/>
        <a:stretch>
          <a:fillRect/>
        </a:stretch>
      </xdr:blipFill>
      <xdr:spPr>
        <a:xfrm>
          <a:off x="18164175" y="3038475"/>
          <a:ext cx="4458845" cy="18886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438150</xdr:colOff>
      <xdr:row>21</xdr:row>
      <xdr:rowOff>142875</xdr:rowOff>
    </xdr:from>
    <xdr:to>
      <xdr:col>12</xdr:col>
      <xdr:colOff>361950</xdr:colOff>
      <xdr:row>29</xdr:row>
      <xdr:rowOff>161925</xdr:rowOff>
    </xdr:to>
    <xdr:sp macro="" textlink="">
      <xdr:nvSpPr>
        <xdr:cNvPr id="2" name="TextBox 1">
          <a:extLst>
            <a:ext uri="{FF2B5EF4-FFF2-40B4-BE49-F238E27FC236}">
              <a16:creationId xmlns:a16="http://schemas.microsoft.com/office/drawing/2014/main" id="{72ADB3EA-114E-BE75-EBE3-9C3878CCFBDD}"/>
            </a:ext>
          </a:extLst>
        </xdr:cNvPr>
        <xdr:cNvSpPr txBox="1"/>
      </xdr:nvSpPr>
      <xdr:spPr>
        <a:xfrm>
          <a:off x="7381875" y="4238625"/>
          <a:ext cx="4410075" cy="154305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Pole täpselt teada, millises Talliina KHG</a:t>
          </a:r>
          <a:r>
            <a:rPr lang="et-EE" sz="1100" baseline="0"/>
            <a:t> inventuuri jaotises ehitusplatsi emissioonid kajastatakse (hooned, transport vm).</a:t>
          </a:r>
          <a:endParaRPr lang="et-EE" sz="1100"/>
        </a:p>
        <a:p>
          <a:r>
            <a:rPr lang="et-EE" sz="1100"/>
            <a:t>Meetmega vähendatakse ehitustööde emissiooni</a:t>
          </a:r>
          <a:r>
            <a:rPr lang="et-EE" sz="1100" baseline="0"/>
            <a:t> - ehitamise asendamisel renoveerimisega ning ehitusplatsi emissiooni. Meetmete KHG vähendamise potentsiaal on väike, kuid võib suureneda, kui ehitamise mahud kasvavad võrreldes eeldatuga.</a:t>
          </a:r>
        </a:p>
        <a:p>
          <a:r>
            <a:rPr lang="et-EE" sz="1100" baseline="0"/>
            <a:t>Meetme välitmiskulu on negatiivne kuna renoveerimine on soodsam võrreldes uusehitusega.</a:t>
          </a:r>
          <a:endParaRPr lang="et-E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781050</xdr:colOff>
      <xdr:row>31</xdr:row>
      <xdr:rowOff>114300</xdr:rowOff>
    </xdr:from>
    <xdr:to>
      <xdr:col>13</xdr:col>
      <xdr:colOff>523875</xdr:colOff>
      <xdr:row>39</xdr:row>
      <xdr:rowOff>9526</xdr:rowOff>
    </xdr:to>
    <xdr:sp macro="" textlink="">
      <xdr:nvSpPr>
        <xdr:cNvPr id="2" name="TextBox 1">
          <a:extLst>
            <a:ext uri="{FF2B5EF4-FFF2-40B4-BE49-F238E27FC236}">
              <a16:creationId xmlns:a16="http://schemas.microsoft.com/office/drawing/2014/main" id="{A1431B73-3BEC-E9A2-4E6D-4AAE1099D15B}"/>
            </a:ext>
          </a:extLst>
        </xdr:cNvPr>
        <xdr:cNvSpPr txBox="1"/>
      </xdr:nvSpPr>
      <xdr:spPr>
        <a:xfrm>
          <a:off x="7820025" y="6115050"/>
          <a:ext cx="4829175" cy="1419226"/>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Päikeseelektri</a:t>
          </a:r>
          <a:r>
            <a:rPr lang="et-EE" sz="1050" baseline="0"/>
            <a:t> t</a:t>
          </a:r>
          <a:r>
            <a:rPr lang="et-EE" sz="1050"/>
            <a:t>ootmismahu aluseks on KOV hoonete kasutsepind, millega</a:t>
          </a:r>
          <a:r>
            <a:rPr lang="et-EE" sz="1050" baseline="0"/>
            <a:t> on seotud PV paneelide võimalik arv ehk tootmismaht.</a:t>
          </a:r>
          <a:endParaRPr lang="et-EE" sz="1050"/>
        </a:p>
        <a:p>
          <a:r>
            <a:rPr lang="et-EE" sz="1050"/>
            <a:t>Päikeseelektri toodang vähendab elektri sisseostmise</a:t>
          </a:r>
          <a:r>
            <a:rPr lang="et-EE" sz="1050" baseline="0"/>
            <a:t> vajadust</a:t>
          </a:r>
          <a:r>
            <a:rPr lang="et-EE" sz="1050"/>
            <a:t> linnast</a:t>
          </a:r>
          <a:r>
            <a:rPr lang="et-EE" sz="1050" baseline="0"/>
            <a:t> väljaspoolt ning  sellega väheneb elektri emissioon. Kuna aga mudelis on eeldatud, et elektri segajäägi emissioonifkator jõuab nulli aastaks 2050 siis pikaajaliselt PV paneelidel mõju KHG vähenemisele puudub.</a:t>
          </a:r>
        </a:p>
        <a:p>
          <a:r>
            <a:rPr lang="et-EE" sz="1050" baseline="0"/>
            <a:t>Meede on kulutõhus, kuna päikeseelektriga saab asendada sisse ostatava elektri kulu, sh võrgu- jm tasud.</a:t>
          </a:r>
          <a:endParaRPr lang="et-EE" sz="105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xdr:row>
      <xdr:rowOff>0</xdr:rowOff>
    </xdr:from>
    <xdr:to>
      <xdr:col>14</xdr:col>
      <xdr:colOff>257175</xdr:colOff>
      <xdr:row>30</xdr:row>
      <xdr:rowOff>66675</xdr:rowOff>
    </xdr:to>
    <xdr:sp macro="" textlink="">
      <xdr:nvSpPr>
        <xdr:cNvPr id="2" name="TextBox 1">
          <a:extLst>
            <a:ext uri="{FF2B5EF4-FFF2-40B4-BE49-F238E27FC236}">
              <a16:creationId xmlns:a16="http://schemas.microsoft.com/office/drawing/2014/main" id="{449A8923-A19C-4E12-B216-8D7A82969DEF}"/>
            </a:ext>
          </a:extLst>
        </xdr:cNvPr>
        <xdr:cNvSpPr txBox="1"/>
      </xdr:nvSpPr>
      <xdr:spPr>
        <a:xfrm>
          <a:off x="7800975" y="5172075"/>
          <a:ext cx="5524500" cy="159067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50"/>
            <a:t>Kolm</a:t>
          </a:r>
          <a:r>
            <a:rPr lang="et-EE" sz="1050" baseline="0"/>
            <a:t> energiasäästu meedet, mille arvutuse aluseks on hoonete energiatarbimine ning selle vähenemine meetmete rakendamisel.</a:t>
          </a:r>
        </a:p>
        <a:p>
          <a:r>
            <a:rPr lang="et-EE" sz="1050" baseline="0"/>
            <a:t>Oluline muutuja on, kui suurele osale linna hoonetest on otstarbekas vastavaid meetmeid rakendada - sellist alusuuringut ei ole tehtud ning hinnangut anda on keeruline.</a:t>
          </a:r>
        </a:p>
        <a:p>
          <a:r>
            <a:rPr lang="et-EE" sz="1050" baseline="0"/>
            <a:t>Arvutused näitasid, et kulutõhususe suhtarv on negatiivne, kuna meetmete tekitatud energiakulude kokkuhoid ületab vajalike kulutuste maksumust - samas on mõlemad hinnangud seotud suure ebakindlusega.</a:t>
          </a:r>
        </a:p>
        <a:p>
          <a:r>
            <a:rPr lang="et-EE" sz="1050" baseline="0"/>
            <a:t>CO2 kokkuhoid on marginaalne, kuna on eeldatud, et elektri emissioon on arvestuslikult null ning kaugkütte eriheide jõuab nulli aastaks 2030.</a:t>
          </a:r>
          <a:endParaRPr lang="et-EE"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276224</xdr:colOff>
      <xdr:row>23</xdr:row>
      <xdr:rowOff>19050</xdr:rowOff>
    </xdr:from>
    <xdr:to>
      <xdr:col>14</xdr:col>
      <xdr:colOff>752474</xdr:colOff>
      <xdr:row>32</xdr:row>
      <xdr:rowOff>38100</xdr:rowOff>
    </xdr:to>
    <xdr:sp macro="" textlink="">
      <xdr:nvSpPr>
        <xdr:cNvPr id="2" name="TextBox 1">
          <a:extLst>
            <a:ext uri="{FF2B5EF4-FFF2-40B4-BE49-F238E27FC236}">
              <a16:creationId xmlns:a16="http://schemas.microsoft.com/office/drawing/2014/main" id="{766EC29E-0F96-4EA4-8F9A-6E0A833677C2}"/>
            </a:ext>
          </a:extLst>
        </xdr:cNvPr>
        <xdr:cNvSpPr txBox="1"/>
      </xdr:nvSpPr>
      <xdr:spPr>
        <a:xfrm>
          <a:off x="7086599" y="4343400"/>
          <a:ext cx="6505575" cy="1733550"/>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aseline="0"/>
            <a:t>Nn pehmed meetmed ehk energiatarbimise alased nõustamised säästukohtade leidmiseks ja ärakasutamiseks. Täna pakutakse sellist teenust erasektori energiakonsultantide, maakondlike arenduskeskuste (EIS) ja Korterühistute Liidu kaudu. </a:t>
          </a:r>
        </a:p>
        <a:p>
          <a:r>
            <a:rPr lang="et-EE" sz="1100" baseline="0"/>
            <a:t>Tegeliku vajaduse ja potentsiaali hindamine on keeruline. Muutus tekib elanike teadlikkuse kasvust, mittte renoveerimisest, kütuste vahetusest vms. Arvutuste aluseks oli hoonete energiatarbimine, hinnanguline hoonete osakaal, mille omanikud saavad nõustmist meetmete rakendusperioodil ning nõustamise mõju energiaatarbimisele.</a:t>
          </a:r>
        </a:p>
        <a:p>
          <a:r>
            <a:rPr lang="et-EE" sz="1100" baseline="0"/>
            <a:t>Linna kuluks on eeldatud 200 tuhat eurot aastas, nõustatavate energiakulud  vähenevad ning kulude vähenemine ületab linna kulud nõustamisele ehk vältimiskulud on negatiivsed.</a:t>
          </a:r>
          <a:endParaRPr lang="et-E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38101</xdr:colOff>
      <xdr:row>32</xdr:row>
      <xdr:rowOff>28575</xdr:rowOff>
    </xdr:from>
    <xdr:to>
      <xdr:col>15</xdr:col>
      <xdr:colOff>38100</xdr:colOff>
      <xdr:row>40</xdr:row>
      <xdr:rowOff>76200</xdr:rowOff>
    </xdr:to>
    <xdr:sp macro="" textlink="">
      <xdr:nvSpPr>
        <xdr:cNvPr id="3" name="TextBox 2">
          <a:extLst>
            <a:ext uri="{FF2B5EF4-FFF2-40B4-BE49-F238E27FC236}">
              <a16:creationId xmlns:a16="http://schemas.microsoft.com/office/drawing/2014/main" id="{F86E3B8E-EDB9-4A59-880F-4F6A68F45245}"/>
            </a:ext>
          </a:extLst>
        </xdr:cNvPr>
        <xdr:cNvSpPr txBox="1"/>
      </xdr:nvSpPr>
      <xdr:spPr>
        <a:xfrm>
          <a:off x="7467601" y="6877050"/>
          <a:ext cx="5762624" cy="1571625"/>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aseline="0"/>
            <a:t>Renoveerimise mõjul võib soojuse tarbimine väheneda üle 50%. Emissiooni täielik vähenemine sõltub eelkõige kütuste vahetusest katlamajades ja lokaalküttes (pellet, elekter, biogaas). Kuna aastast 2030 kasutatakse linna kaugküttes plaanide kohaselt ainult taastuvaid kütuseid, on kaugkütet kasutavate hoonete renoveerimisel mõju peamiselt hoonete energiatarbimisele.</a:t>
          </a:r>
        </a:p>
        <a:p>
          <a:r>
            <a:rPr lang="et-EE" sz="1100" baseline="0"/>
            <a:t>Meemte mõju KHG heite vähenemisele on mõõdukas.</a:t>
          </a:r>
        </a:p>
        <a:p>
          <a:r>
            <a:rPr lang="et-EE" sz="1100" baseline="0"/>
            <a:t>Hoonete terviklik renoveerimine on suhteliselt kallis (eeldatiudca 1500€/m2). Lõplik tasuvus sõltub erinevate kütuste ja kütete hinnast. Arvutused näitasid, et renoveerimise kulu ületab energiatarbimise kokkuhoiust tekkiva võidu.</a:t>
          </a:r>
          <a:endParaRPr lang="et-E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323851</xdr:colOff>
      <xdr:row>22</xdr:row>
      <xdr:rowOff>66675</xdr:rowOff>
    </xdr:from>
    <xdr:to>
      <xdr:col>13</xdr:col>
      <xdr:colOff>649433</xdr:colOff>
      <xdr:row>30</xdr:row>
      <xdr:rowOff>47624</xdr:rowOff>
    </xdr:to>
    <xdr:sp macro="" textlink="">
      <xdr:nvSpPr>
        <xdr:cNvPr id="2" name="TextBox 1">
          <a:extLst>
            <a:ext uri="{FF2B5EF4-FFF2-40B4-BE49-F238E27FC236}">
              <a16:creationId xmlns:a16="http://schemas.microsoft.com/office/drawing/2014/main" id="{03BE24B0-D0E4-427B-A05A-275FC216E1DD}"/>
            </a:ext>
          </a:extLst>
        </xdr:cNvPr>
        <xdr:cNvSpPr txBox="1"/>
      </xdr:nvSpPr>
      <xdr:spPr>
        <a:xfrm>
          <a:off x="7303078" y="4560743"/>
          <a:ext cx="5295900" cy="1504949"/>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aseline="0"/>
            <a:t>Arvutuste tegemiseks hinnati, kui suure kasvu võib teha kaugküttega liitunud hoonete osakaal aastaks 2050 võrreldes tänase seisuga. Lisaks tuleb teada/eeldada, kui suur on maagaasi osakaal lokaalküttes, kuna selle asendamine kaugküttega aitab vähendada KHG heidet.</a:t>
          </a:r>
        </a:p>
        <a:p>
          <a:r>
            <a:rPr lang="et-EE" sz="1100" baseline="0"/>
            <a:t>Rahalise kulu hindamiseks on eeldatud keskmine liitumistasu kaugkütte võrguga ning linna kulude leidmiseks linna liitumistoetuse osakaal liitumiskuludes. Arvestati ainult liitumise investeeringuga kuna soojus hinnaerinevust (kaugküte vrs lokaalküte) on keeruline hinnata ja prognoosida.</a:t>
          </a:r>
          <a:endParaRPr lang="et-EE"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419101</xdr:colOff>
      <xdr:row>18</xdr:row>
      <xdr:rowOff>142876</xdr:rowOff>
    </xdr:from>
    <xdr:to>
      <xdr:col>11</xdr:col>
      <xdr:colOff>742951</xdr:colOff>
      <xdr:row>26</xdr:row>
      <xdr:rowOff>57150</xdr:rowOff>
    </xdr:to>
    <xdr:sp macro="" textlink="">
      <xdr:nvSpPr>
        <xdr:cNvPr id="2" name="TextBox 1">
          <a:extLst>
            <a:ext uri="{FF2B5EF4-FFF2-40B4-BE49-F238E27FC236}">
              <a16:creationId xmlns:a16="http://schemas.microsoft.com/office/drawing/2014/main" id="{7A4FCEA2-8031-4BBE-8AE6-A24CAC62C738}"/>
            </a:ext>
          </a:extLst>
        </xdr:cNvPr>
        <xdr:cNvSpPr txBox="1"/>
      </xdr:nvSpPr>
      <xdr:spPr>
        <a:xfrm>
          <a:off x="7391401" y="3552826"/>
          <a:ext cx="3752850" cy="1438274"/>
        </a:xfrm>
        <a:prstGeom prst="rect">
          <a:avLst/>
        </a:prstGeom>
        <a:solidFill>
          <a:srgbClr val="FAF5E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aseline="0"/>
            <a:t>Eeldatud on, et fossiilkütuste asendamine kaugküttes toimub kulutõhusalt ning sellega ei kaasne lisakulusid tarbijatele ja soojatootjale.</a:t>
          </a:r>
        </a:p>
        <a:p>
          <a:r>
            <a:rPr lang="et-EE" sz="1100" baseline="0"/>
            <a:t>CO2 koguste arvutuse lähetkohaks on Utilitase 2024. aasta aruandest tuletatud kaugkütte eriheide (30% ulatuses kasutati maagaasi) ja eesmärki saavutada aastaks 2030 KHG vaba kaugküte.</a:t>
          </a:r>
          <a:endParaRPr lang="et-EE" sz="1100"/>
        </a:p>
      </xdr:txBody>
    </xdr:sp>
    <xdr:clientData/>
  </xdr:twoCellAnchor>
</xdr:wsDr>
</file>

<file path=xl/persons/person.xml><?xml version="1.0" encoding="utf-8"?>
<personList xmlns="http://schemas.microsoft.com/office/spreadsheetml/2018/threadedcomments" xmlns:x="http://schemas.openxmlformats.org/spreadsheetml/2006/main">
  <person displayName="Olavi Grünvald" id="{FA2B1454-EBF0-4A6D-A386-DAAD9309637C}" userId="Olavi Grünvald" providerId="None"/>
</personList>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840D988-BE44-4597-AE8A-15A3C0A8CB94}" name="Table136" displayName="Table136" ref="B27:C34" totalsRowShown="0" headerRowDxfId="88">
  <tableColumns count="2">
    <tableColumn id="1" xr3:uid="{47AA1DEF-E464-4056-B8D5-502C1677165C}" name="Näitaja" dataDxfId="87"/>
    <tableColumn id="2" xr3:uid="{220C2F4F-09C9-4503-9DF0-F4796EF9A0BE}" name="Väärtus" dataDxfId="86"/>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9" personId="{FA2B1454-EBF0-4A6D-A386-DAAD9309637C}" id="{7F076352-1F30-47C8-AF8F-A96CC71E278E}">
    <text>“MAASification” viitab protsessile, mil mitmed erinevad liikuvusteenused (näiteks bussid, rongid, jagamisautod, jalgrattad, tõukerattad jne) integreeritakse üheks sujuvaks süsteemiks, mille kaudu kasutaja saab planeerida, broneerida ja tasuda kogu teekonna eest ühe äpi kaudu.</text>
  </threadedComment>
</ThreadedComments>
</file>

<file path=xl/threadedComments/threadedComment2.xml><?xml version="1.0" encoding="utf-8"?>
<ThreadedComments xmlns="http://schemas.microsoft.com/office/spreadsheetml/2018/threadedcomments" xmlns:x="http://schemas.openxmlformats.org/spreadsheetml/2006/main">
  <threadedComment ref="I2" personId="{FA2B1454-EBF0-4A6D-A386-DAAD9309637C}" id="{BDA788CA-5D99-40B5-8842-AB7344FD8E5E}">
    <text>Negatiivne number tähendab, et meede tekitab ühiskonnale (neto)tulu</text>
  </threadedComment>
</ThreadedComments>
</file>

<file path=xl/threadedComments/threadedComment3.xml><?xml version="1.0" encoding="utf-8"?>
<ThreadedComments xmlns="http://schemas.microsoft.com/office/spreadsheetml/2018/threadedcomments" xmlns:x="http://schemas.openxmlformats.org/spreadsheetml/2006/main">
  <threadedComment ref="C72" personId="{FA2B1454-EBF0-4A6D-A386-DAAD9309637C}" id="{64EB14F8-2B5A-464B-A30F-21D970FB0536}">
    <text>maagaasi eriheide - st kasutatakse 100% maagaasi</text>
  </threadedComment>
  <threadedComment ref="C241" personId="{FA2B1454-EBF0-4A6D-A386-DAAD9309637C}" id="{4E84C9E7-EE1A-4AC4-A78C-DC62B7CEDC5C}">
    <text>Vt transpordi teekaart</text>
  </threadedComment>
  <threadedComment ref="C247" personId="{FA2B1454-EBF0-4A6D-A386-DAAD9309637C}" id="{A7FC1125-13C4-4DE0-BDC8-13E783244E40}">
    <text>Vt transpordi teekaart</text>
  </threadedComment>
  <threadedComment ref="C254" personId="{FA2B1454-EBF0-4A6D-A386-DAAD9309637C}" id="{86A94696-517C-4A79-8E69-E561A30F72AA}">
    <text>Vt transpordi teekaart</text>
  </threadedComment>
  <threadedComment ref="E271" personId="{FA2B1454-EBF0-4A6D-A386-DAAD9309637C}" id="{BEDA999F-12A9-4F61-93B5-E137EB19066A}">
    <text>st reisijate arvestuses</text>
  </threadedComment>
</ThreadedComments>
</file>

<file path=xl/threadedComments/threadedComment4.xml><?xml version="1.0" encoding="utf-8"?>
<ThreadedComments xmlns="http://schemas.microsoft.com/office/spreadsheetml/2018/threadedcomments" xmlns:x="http://schemas.openxmlformats.org/spreadsheetml/2006/main">
  <threadedComment ref="H11" personId="{FA2B1454-EBF0-4A6D-A386-DAAD9309637C}" id="{A76B836A-3929-476E-8272-B0788E48E17C}">
    <text>eeldatud, et elektrit ei kasutata kütteks.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76F8288-DB45-40E5-AEB5-A45A804ECA96}">
  <we:reference id="wa104100404" version="3.0.0.1" store="en-US" storeType="OMEX"/>
  <we:alternateReferences>
    <we:reference id="wa104100404" version="3.0.0.1"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utilitas.ee/" TargetMode="External"/><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hyperlink" Target="https://utilitas.ee/kaugkute-ja-kaugjahutus/liitu-kaugkuttega-tallinna-linna-toetuse-abil/" TargetMode="External"/><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hyperlink" Target="https://tlt.ee/esimene-uus-pesa-tramm-joudis-tallinnasse-ja-asub-labima-testkilomeetreid/" TargetMode="External"/><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www.ts.ee/investor/pohinaitajad/" TargetMode="External"/></Relationships>
</file>

<file path=xl/worksheets/_rels/sheet2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hyperlink" Target="https://www.riigiteataja.ee/aktilisa/4030/1202/4002/Tulude%20eelarve.pdf" TargetMode="Externa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3" Type="http://schemas.openxmlformats.org/officeDocument/2006/relationships/hyperlink" Target="https://oigusaktid.tallinn.ee/?id=3001&amp;aktid=125984&amp;fd=1&amp;leht=1&amp;q_sort=elex_akt.akt_vkp" TargetMode="External"/><Relationship Id="rId2" Type="http://schemas.openxmlformats.org/officeDocument/2006/relationships/hyperlink" Target="https://www.riigiteataja.ee/akt/417062025027" TargetMode="External"/><Relationship Id="rId1" Type="http://schemas.openxmlformats.org/officeDocument/2006/relationships/hyperlink" Target="https://www.tallinn.ee/et/pohja/tallinna-haljastus-hakkab-sihiparaselt-arenema"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s://www.tallinn.ee/et/pohja/tallinna-haljastus-hakkab-sihiparaselt-arenema?utm" TargetMode="Externa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minuomavalitsus.ee/muud-toolauad/kinnisvara-ulevaade" TargetMode="External"/><Relationship Id="rId7" Type="http://schemas.openxmlformats.org/officeDocument/2006/relationships/drawing" Target="../drawings/drawing1.xml"/><Relationship Id="rId2" Type="http://schemas.openxmlformats.org/officeDocument/2006/relationships/hyperlink" Target="https://public.tableau.com/app/profile/transpordiamet/viz/LiikuvusAasta_16383481987800/Liikuvuseindikaatorid" TargetMode="External"/><Relationship Id="rId1" Type="http://schemas.openxmlformats.org/officeDocument/2006/relationships/hyperlink" Target="https://www.riigiteataja.ee/akt/113122018014?leiaKehtiv" TargetMode="External"/><Relationship Id="rId6" Type="http://schemas.openxmlformats.org/officeDocument/2006/relationships/printerSettings" Target="../printerSettings/printerSettings2.bin"/><Relationship Id="rId5" Type="http://schemas.openxmlformats.org/officeDocument/2006/relationships/hyperlink" Target="https://livekluster.ehr.ee/ui/ehr/v1/infoportal/buildingsummary" TargetMode="External"/><Relationship Id="rId10" Type="http://schemas.microsoft.com/office/2017/10/relationships/threadedComment" Target="../threadedComments/threadedComment3.xml"/><Relationship Id="rId4" Type="http://schemas.openxmlformats.org/officeDocument/2006/relationships/hyperlink" Target="https://public.tableau.com/app/profile/transpordiamet/viz/Registrisaastalpuseisugaalates2011/Nitajadsidukitevanuselikes" TargetMode="External"/><Relationship Id="rId9"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7.xml"/><Relationship Id="rId1" Type="http://schemas.openxmlformats.org/officeDocument/2006/relationships/printerSettings" Target="../printerSettings/printerSettings4.bin"/><Relationship Id="rId4" Type="http://schemas.openxmlformats.org/officeDocument/2006/relationships/comments" Target="../comments1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nylyn.solar/en-eu/blogs/solarenergy_info/buying-guide-and-costs-pv-storage-202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energiatalgud.ee/hoiamekokku"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FBF06-A090-48C3-BDF5-9455F3E9FCF3}">
  <dimension ref="B1:H138"/>
  <sheetViews>
    <sheetView showGridLines="0" zoomScaleNormal="100" workbookViewId="0">
      <pane ySplit="1" topLeftCell="A2" activePane="bottomLeft" state="frozen"/>
      <selection pane="bottomLeft" activeCell="C87" sqref="C87"/>
    </sheetView>
  </sheetViews>
  <sheetFormatPr defaultColWidth="9.140625" defaultRowHeight="13.5" outlineLevelCol="1" x14ac:dyDescent="0.25"/>
  <cols>
    <col min="1" max="1" width="7" style="15" customWidth="1"/>
    <col min="2" max="2" width="6.85546875" style="15" customWidth="1"/>
    <col min="3" max="3" width="32.7109375" style="15" customWidth="1"/>
    <col min="4" max="4" width="72.5703125" style="888" customWidth="1"/>
    <col min="5" max="5" width="34.42578125" style="15" customWidth="1" outlineLevel="1"/>
    <col min="6" max="6" width="11.5703125" style="15" customWidth="1" outlineLevel="1"/>
    <col min="7" max="7" width="58" style="883" customWidth="1" outlineLevel="1"/>
    <col min="8" max="8" width="80.5703125" style="15" customWidth="1" outlineLevel="1"/>
    <col min="9" max="16384" width="9.140625" style="15"/>
  </cols>
  <sheetData>
    <row r="1" spans="2:8" ht="27" x14ac:dyDescent="0.25">
      <c r="B1" s="880" t="s">
        <v>0</v>
      </c>
      <c r="C1" s="881" t="s">
        <v>1</v>
      </c>
      <c r="D1" s="880" t="s">
        <v>2</v>
      </c>
      <c r="E1" s="882" t="s">
        <v>3</v>
      </c>
      <c r="F1" s="881" t="s">
        <v>4</v>
      </c>
      <c r="G1" s="881" t="s">
        <v>5</v>
      </c>
      <c r="H1" s="381"/>
    </row>
    <row r="2" spans="2:8" ht="14.45" customHeight="1" x14ac:dyDescent="0.25">
      <c r="B2" s="945" t="s">
        <v>6</v>
      </c>
      <c r="C2" s="946"/>
      <c r="D2" s="946"/>
      <c r="E2" s="946"/>
      <c r="F2" s="946"/>
      <c r="G2" s="947"/>
      <c r="H2" s="382"/>
    </row>
    <row r="3" spans="2:8" ht="27" x14ac:dyDescent="0.25">
      <c r="B3" s="51" t="s">
        <v>7</v>
      </c>
      <c r="C3" s="16" t="s">
        <v>8</v>
      </c>
      <c r="D3" s="250" t="s">
        <v>9</v>
      </c>
      <c r="E3" s="17" t="s">
        <v>10</v>
      </c>
      <c r="F3" s="17" t="s">
        <v>11</v>
      </c>
      <c r="G3" s="16" t="s">
        <v>12</v>
      </c>
      <c r="H3" s="383"/>
    </row>
    <row r="4" spans="2:8" ht="40.5" x14ac:dyDescent="0.25">
      <c r="B4" s="52" t="s">
        <v>13</v>
      </c>
      <c r="C4" s="16" t="s">
        <v>8</v>
      </c>
      <c r="D4" s="250" t="s">
        <v>14</v>
      </c>
      <c r="E4" s="17" t="s">
        <v>10</v>
      </c>
      <c r="F4" s="17" t="s">
        <v>11</v>
      </c>
      <c r="G4" s="16" t="s">
        <v>15</v>
      </c>
      <c r="H4" s="384"/>
    </row>
    <row r="5" spans="2:8" ht="27" x14ac:dyDescent="0.25">
      <c r="B5" s="51" t="s">
        <v>16</v>
      </c>
      <c r="C5" s="16" t="s">
        <v>17</v>
      </c>
      <c r="D5" s="250" t="s">
        <v>18</v>
      </c>
      <c r="E5" s="17" t="s">
        <v>19</v>
      </c>
      <c r="F5" s="17" t="s">
        <v>20</v>
      </c>
      <c r="G5" s="16" t="s">
        <v>21</v>
      </c>
      <c r="H5" s="384"/>
    </row>
    <row r="6" spans="2:8" ht="27" x14ac:dyDescent="0.25">
      <c r="B6" s="51" t="s">
        <v>22</v>
      </c>
      <c r="C6" s="16" t="s">
        <v>8</v>
      </c>
      <c r="D6" s="250" t="s">
        <v>23</v>
      </c>
      <c r="E6" s="17" t="s">
        <v>24</v>
      </c>
      <c r="F6" s="17" t="s">
        <v>11</v>
      </c>
      <c r="G6" s="16"/>
      <c r="H6" s="384"/>
    </row>
    <row r="7" spans="2:8" ht="27" x14ac:dyDescent="0.25">
      <c r="B7" s="51" t="s">
        <v>25</v>
      </c>
      <c r="C7" s="16" t="s">
        <v>8</v>
      </c>
      <c r="D7" s="250" t="s">
        <v>26</v>
      </c>
      <c r="E7" s="17" t="s">
        <v>27</v>
      </c>
      <c r="F7" s="17" t="s">
        <v>20</v>
      </c>
      <c r="G7" s="16" t="s">
        <v>28</v>
      </c>
      <c r="H7" s="384"/>
    </row>
    <row r="8" spans="2:8" ht="27" x14ac:dyDescent="0.25">
      <c r="B8" s="51" t="s">
        <v>29</v>
      </c>
      <c r="C8" s="16" t="s">
        <v>8</v>
      </c>
      <c r="D8" s="250" t="s">
        <v>30</v>
      </c>
      <c r="E8" s="17" t="s">
        <v>31</v>
      </c>
      <c r="F8" s="17" t="s">
        <v>11</v>
      </c>
      <c r="G8" s="16"/>
      <c r="H8" s="384"/>
    </row>
    <row r="9" spans="2:8" ht="27" x14ac:dyDescent="0.25">
      <c r="B9" s="51" t="s">
        <v>32</v>
      </c>
      <c r="C9" s="16" t="s">
        <v>8</v>
      </c>
      <c r="D9" s="250" t="s">
        <v>33</v>
      </c>
      <c r="E9" s="17" t="s">
        <v>34</v>
      </c>
      <c r="F9" s="17" t="s">
        <v>20</v>
      </c>
      <c r="G9" s="16" t="s">
        <v>35</v>
      </c>
      <c r="H9" s="384"/>
    </row>
    <row r="10" spans="2:8" ht="67.5" x14ac:dyDescent="0.25">
      <c r="B10" s="51" t="s">
        <v>36</v>
      </c>
      <c r="C10" s="16" t="s">
        <v>37</v>
      </c>
      <c r="D10" s="250" t="s">
        <v>38</v>
      </c>
      <c r="E10" s="17" t="s">
        <v>39</v>
      </c>
      <c r="F10" s="17" t="s">
        <v>20</v>
      </c>
      <c r="G10" s="16" t="s">
        <v>40</v>
      </c>
      <c r="H10" s="384"/>
    </row>
    <row r="11" spans="2:8" ht="54" x14ac:dyDescent="0.25">
      <c r="B11" s="52" t="s">
        <v>41</v>
      </c>
      <c r="C11" s="16" t="s">
        <v>42</v>
      </c>
      <c r="D11" s="250" t="s">
        <v>43</v>
      </c>
      <c r="E11" s="17" t="s">
        <v>44</v>
      </c>
      <c r="F11" s="17" t="s">
        <v>20</v>
      </c>
      <c r="G11" s="16" t="s">
        <v>45</v>
      </c>
      <c r="H11" s="384"/>
    </row>
    <row r="12" spans="2:8" ht="40.5" x14ac:dyDescent="0.25">
      <c r="B12" s="51" t="s">
        <v>46</v>
      </c>
      <c r="C12" s="16" t="s">
        <v>42</v>
      </c>
      <c r="D12" s="250" t="s">
        <v>47</v>
      </c>
      <c r="E12" s="17" t="s">
        <v>48</v>
      </c>
      <c r="F12" s="17" t="s">
        <v>20</v>
      </c>
      <c r="G12" s="16" t="s">
        <v>49</v>
      </c>
      <c r="H12" s="383"/>
    </row>
    <row r="13" spans="2:8" ht="54" x14ac:dyDescent="0.25">
      <c r="B13" s="52" t="s">
        <v>50</v>
      </c>
      <c r="C13" s="16" t="s">
        <v>42</v>
      </c>
      <c r="D13" s="250" t="s">
        <v>51</v>
      </c>
      <c r="E13" s="17" t="s">
        <v>52</v>
      </c>
      <c r="F13" s="17" t="s">
        <v>11</v>
      </c>
      <c r="G13" s="16" t="s">
        <v>53</v>
      </c>
      <c r="H13" s="384"/>
    </row>
    <row r="14" spans="2:8" ht="40.5" x14ac:dyDescent="0.25">
      <c r="B14" s="51" t="s">
        <v>54</v>
      </c>
      <c r="C14" s="16" t="s">
        <v>42</v>
      </c>
      <c r="D14" s="250" t="s">
        <v>55</v>
      </c>
      <c r="E14" s="17" t="s">
        <v>56</v>
      </c>
      <c r="F14" s="17" t="s">
        <v>20</v>
      </c>
      <c r="G14" s="16" t="s">
        <v>57</v>
      </c>
      <c r="H14" s="384"/>
    </row>
    <row r="15" spans="2:8" ht="27" x14ac:dyDescent="0.25">
      <c r="B15" s="51" t="s">
        <v>58</v>
      </c>
      <c r="C15" s="16" t="s">
        <v>42</v>
      </c>
      <c r="D15" s="250" t="s">
        <v>59</v>
      </c>
      <c r="E15" s="17" t="s">
        <v>27</v>
      </c>
      <c r="F15" s="17" t="s">
        <v>20</v>
      </c>
      <c r="G15" s="16" t="s">
        <v>60</v>
      </c>
      <c r="H15" s="384"/>
    </row>
    <row r="16" spans="2:8" ht="14.45" customHeight="1" x14ac:dyDescent="0.25">
      <c r="B16" s="945" t="s">
        <v>61</v>
      </c>
      <c r="C16" s="946"/>
      <c r="D16" s="946"/>
      <c r="E16" s="946"/>
      <c r="F16" s="946"/>
      <c r="G16" s="947"/>
      <c r="H16" s="382"/>
    </row>
    <row r="17" spans="2:8" x14ac:dyDescent="0.25">
      <c r="B17" s="341" t="s">
        <v>62</v>
      </c>
      <c r="C17" s="18" t="s">
        <v>63</v>
      </c>
      <c r="D17" s="251" t="s">
        <v>64</v>
      </c>
      <c r="E17" s="19" t="s">
        <v>65</v>
      </c>
      <c r="F17" s="19" t="s">
        <v>11</v>
      </c>
      <c r="G17" s="18"/>
      <c r="H17" s="384"/>
    </row>
    <row r="18" spans="2:8" ht="67.5" x14ac:dyDescent="0.25">
      <c r="B18" s="341" t="s">
        <v>66</v>
      </c>
      <c r="C18" s="18" t="s">
        <v>67</v>
      </c>
      <c r="D18" s="251" t="s">
        <v>68</v>
      </c>
      <c r="E18" s="342" t="s">
        <v>69</v>
      </c>
      <c r="F18" s="19" t="s">
        <v>11</v>
      </c>
      <c r="G18" s="18" t="s">
        <v>70</v>
      </c>
      <c r="H18" s="384"/>
    </row>
    <row r="19" spans="2:8" ht="27" x14ac:dyDescent="0.25">
      <c r="B19" s="341" t="s">
        <v>71</v>
      </c>
      <c r="C19" s="18" t="s">
        <v>72</v>
      </c>
      <c r="D19" s="251" t="s">
        <v>73</v>
      </c>
      <c r="E19" s="19" t="s">
        <v>74</v>
      </c>
      <c r="F19" s="19" t="s">
        <v>20</v>
      </c>
      <c r="G19" s="18" t="s">
        <v>75</v>
      </c>
      <c r="H19" s="384"/>
    </row>
    <row r="20" spans="2:8" ht="81" x14ac:dyDescent="0.25">
      <c r="B20" s="53" t="s">
        <v>76</v>
      </c>
      <c r="C20" s="18" t="s">
        <v>77</v>
      </c>
      <c r="D20" s="251" t="s">
        <v>78</v>
      </c>
      <c r="E20" s="19" t="s">
        <v>79</v>
      </c>
      <c r="F20" s="19" t="s">
        <v>20</v>
      </c>
      <c r="G20" s="18" t="s">
        <v>80</v>
      </c>
      <c r="H20" s="384"/>
    </row>
    <row r="21" spans="2:8" ht="14.45" customHeight="1" x14ac:dyDescent="0.25">
      <c r="B21" s="945" t="s">
        <v>81</v>
      </c>
      <c r="C21" s="946"/>
      <c r="D21" s="946"/>
      <c r="E21" s="946"/>
      <c r="F21" s="946"/>
      <c r="G21" s="947"/>
      <c r="H21" s="385"/>
    </row>
    <row r="22" spans="2:8" ht="81" x14ac:dyDescent="0.25">
      <c r="B22" s="251" t="s">
        <v>82</v>
      </c>
      <c r="C22" s="18" t="s">
        <v>83</v>
      </c>
      <c r="D22" s="251" t="s">
        <v>84</v>
      </c>
      <c r="E22" s="19" t="s">
        <v>85</v>
      </c>
      <c r="F22" s="19" t="s">
        <v>20</v>
      </c>
      <c r="G22" s="18" t="s">
        <v>86</v>
      </c>
      <c r="H22" s="384"/>
    </row>
    <row r="23" spans="2:8" ht="40.5" x14ac:dyDescent="0.25">
      <c r="B23" s="358" t="s">
        <v>87</v>
      </c>
      <c r="C23" s="18" t="s">
        <v>88</v>
      </c>
      <c r="D23" s="251" t="s">
        <v>89</v>
      </c>
      <c r="E23" s="19" t="s">
        <v>90</v>
      </c>
      <c r="F23" s="19" t="s">
        <v>20</v>
      </c>
      <c r="G23" s="18"/>
      <c r="H23" s="384"/>
    </row>
    <row r="24" spans="2:8" ht="27" x14ac:dyDescent="0.25">
      <c r="B24" s="251" t="s">
        <v>91</v>
      </c>
      <c r="C24" s="18" t="s">
        <v>8</v>
      </c>
      <c r="D24" s="251" t="s">
        <v>92</v>
      </c>
      <c r="E24" s="19"/>
      <c r="F24" s="19" t="s">
        <v>11</v>
      </c>
      <c r="G24" s="18" t="s">
        <v>93</v>
      </c>
      <c r="H24" s="384"/>
    </row>
    <row r="25" spans="2:8" ht="14.45" customHeight="1" x14ac:dyDescent="0.25">
      <c r="B25" s="945" t="s">
        <v>94</v>
      </c>
      <c r="C25" s="956"/>
      <c r="D25" s="956"/>
      <c r="E25" s="956"/>
      <c r="F25" s="956"/>
      <c r="G25" s="957"/>
      <c r="H25" s="385"/>
    </row>
    <row r="26" spans="2:8" x14ac:dyDescent="0.25">
      <c r="B26" s="308" t="s">
        <v>95</v>
      </c>
      <c r="C26" s="20" t="s">
        <v>96</v>
      </c>
      <c r="D26" s="252" t="s">
        <v>97</v>
      </c>
      <c r="E26" s="21" t="s">
        <v>98</v>
      </c>
      <c r="F26" s="21" t="s">
        <v>99</v>
      </c>
      <c r="G26" s="953" t="s">
        <v>100</v>
      </c>
      <c r="H26" s="383"/>
    </row>
    <row r="27" spans="2:8" ht="14.45" customHeight="1" x14ac:dyDescent="0.25">
      <c r="B27" s="308" t="s">
        <v>101</v>
      </c>
      <c r="C27" s="20" t="s">
        <v>96</v>
      </c>
      <c r="D27" s="252" t="s">
        <v>102</v>
      </c>
      <c r="E27" s="21" t="s">
        <v>103</v>
      </c>
      <c r="F27" s="21" t="s">
        <v>20</v>
      </c>
      <c r="G27" s="954"/>
      <c r="H27" s="384"/>
    </row>
    <row r="28" spans="2:8" ht="14.45" customHeight="1" x14ac:dyDescent="0.25">
      <c r="B28" s="308" t="s">
        <v>104</v>
      </c>
      <c r="C28" s="20" t="s">
        <v>96</v>
      </c>
      <c r="D28" s="252" t="s">
        <v>105</v>
      </c>
      <c r="E28" s="21" t="s">
        <v>103</v>
      </c>
      <c r="F28" s="21" t="s">
        <v>20</v>
      </c>
      <c r="G28" s="954"/>
      <c r="H28" s="384"/>
    </row>
    <row r="29" spans="2:8" ht="14.45" customHeight="1" x14ac:dyDescent="0.25">
      <c r="B29" s="308" t="s">
        <v>106</v>
      </c>
      <c r="C29" s="20" t="s">
        <v>96</v>
      </c>
      <c r="D29" s="252" t="s">
        <v>107</v>
      </c>
      <c r="E29" s="21" t="s">
        <v>103</v>
      </c>
      <c r="F29" s="21" t="s">
        <v>20</v>
      </c>
      <c r="G29" s="954"/>
      <c r="H29" s="384"/>
    </row>
    <row r="30" spans="2:8" ht="14.45" customHeight="1" x14ac:dyDescent="0.25">
      <c r="B30" s="308" t="s">
        <v>108</v>
      </c>
      <c r="C30" s="20" t="s">
        <v>96</v>
      </c>
      <c r="D30" s="252" t="s">
        <v>109</v>
      </c>
      <c r="E30" s="21" t="s">
        <v>103</v>
      </c>
      <c r="F30" s="21" t="s">
        <v>20</v>
      </c>
      <c r="G30" s="955"/>
      <c r="H30" s="384"/>
    </row>
    <row r="31" spans="2:8" ht="14.45" customHeight="1" x14ac:dyDescent="0.25">
      <c r="B31" s="945" t="s">
        <v>110</v>
      </c>
      <c r="C31" s="946"/>
      <c r="D31" s="946"/>
      <c r="E31" s="946"/>
      <c r="F31" s="946"/>
      <c r="G31" s="947"/>
      <c r="H31" s="385"/>
    </row>
    <row r="32" spans="2:8" ht="54" x14ac:dyDescent="0.25">
      <c r="B32" s="54" t="s">
        <v>111</v>
      </c>
      <c r="C32" s="20" t="s">
        <v>112</v>
      </c>
      <c r="D32" s="252" t="s">
        <v>113</v>
      </c>
      <c r="E32" s="21" t="s">
        <v>114</v>
      </c>
      <c r="F32" s="21" t="s">
        <v>20</v>
      </c>
      <c r="G32" s="252" t="s">
        <v>115</v>
      </c>
      <c r="H32" s="384"/>
    </row>
    <row r="33" spans="2:8" x14ac:dyDescent="0.25">
      <c r="B33" s="54" t="s">
        <v>116</v>
      </c>
      <c r="C33" s="20" t="s">
        <v>112</v>
      </c>
      <c r="D33" s="252" t="s">
        <v>117</v>
      </c>
      <c r="E33" s="21" t="s">
        <v>118</v>
      </c>
      <c r="F33" s="21" t="s">
        <v>20</v>
      </c>
      <c r="G33" s="252" t="s">
        <v>119</v>
      </c>
      <c r="H33" s="384"/>
    </row>
    <row r="34" spans="2:8" x14ac:dyDescent="0.25">
      <c r="B34" s="54" t="s">
        <v>120</v>
      </c>
      <c r="C34" s="20" t="s">
        <v>112</v>
      </c>
      <c r="D34" s="252" t="s">
        <v>121</v>
      </c>
      <c r="E34" s="21" t="s">
        <v>122</v>
      </c>
      <c r="F34" s="21" t="s">
        <v>20</v>
      </c>
      <c r="G34" s="252" t="s">
        <v>119</v>
      </c>
      <c r="H34" s="384"/>
    </row>
    <row r="35" spans="2:8" x14ac:dyDescent="0.25">
      <c r="B35" s="54" t="s">
        <v>123</v>
      </c>
      <c r="C35" s="20" t="s">
        <v>112</v>
      </c>
      <c r="D35" s="252" t="s">
        <v>124</v>
      </c>
      <c r="E35" s="21" t="s">
        <v>125</v>
      </c>
      <c r="F35" s="21" t="s">
        <v>20</v>
      </c>
      <c r="G35" s="252" t="s">
        <v>126</v>
      </c>
      <c r="H35" s="384"/>
    </row>
    <row r="36" spans="2:8" x14ac:dyDescent="0.25">
      <c r="B36" s="54" t="s">
        <v>127</v>
      </c>
      <c r="C36" s="20" t="s">
        <v>112</v>
      </c>
      <c r="D36" s="252" t="s">
        <v>128</v>
      </c>
      <c r="E36" s="21"/>
      <c r="F36" s="21" t="s">
        <v>20</v>
      </c>
      <c r="G36" s="252" t="s">
        <v>126</v>
      </c>
      <c r="H36" s="384"/>
    </row>
    <row r="37" spans="2:8" ht="14.45" customHeight="1" x14ac:dyDescent="0.25">
      <c r="B37" s="942" t="s">
        <v>129</v>
      </c>
      <c r="C37" s="948"/>
      <c r="D37" s="948"/>
      <c r="E37" s="948"/>
      <c r="F37" s="948"/>
      <c r="G37" s="949"/>
      <c r="H37" s="382"/>
    </row>
    <row r="38" spans="2:8" ht="27" x14ac:dyDescent="0.25">
      <c r="B38" s="308" t="s">
        <v>130</v>
      </c>
      <c r="C38" s="20" t="s">
        <v>131</v>
      </c>
      <c r="D38" s="252" t="s">
        <v>132</v>
      </c>
      <c r="E38" s="21" t="s">
        <v>133</v>
      </c>
      <c r="F38" s="21" t="s">
        <v>11</v>
      </c>
      <c r="G38" s="20"/>
      <c r="H38" s="384"/>
    </row>
    <row r="39" spans="2:8" x14ac:dyDescent="0.25">
      <c r="B39" s="308" t="s">
        <v>134</v>
      </c>
      <c r="C39" s="20" t="s">
        <v>131</v>
      </c>
      <c r="D39" s="252" t="s">
        <v>135</v>
      </c>
      <c r="E39" s="21" t="s">
        <v>136</v>
      </c>
      <c r="F39" s="21" t="s">
        <v>11</v>
      </c>
      <c r="G39" s="20"/>
      <c r="H39" s="384"/>
    </row>
    <row r="40" spans="2:8" ht="14.45" customHeight="1" x14ac:dyDescent="0.25">
      <c r="B40" s="942" t="s">
        <v>137</v>
      </c>
      <c r="C40" s="948"/>
      <c r="D40" s="948"/>
      <c r="E40" s="948"/>
      <c r="F40" s="948"/>
      <c r="G40" s="949"/>
      <c r="H40" s="382"/>
    </row>
    <row r="41" spans="2:8" ht="40.5" x14ac:dyDescent="0.25">
      <c r="B41" s="308" t="s">
        <v>138</v>
      </c>
      <c r="C41" s="20" t="s">
        <v>139</v>
      </c>
      <c r="D41" s="252" t="s">
        <v>140</v>
      </c>
      <c r="E41" s="21" t="s">
        <v>141</v>
      </c>
      <c r="F41" s="21" t="s">
        <v>11</v>
      </c>
      <c r="G41" s="20" t="s">
        <v>142</v>
      </c>
      <c r="H41" s="383"/>
    </row>
    <row r="42" spans="2:8" ht="202.5" x14ac:dyDescent="0.25">
      <c r="B42" s="308" t="s">
        <v>143</v>
      </c>
      <c r="C42" s="20" t="s">
        <v>139</v>
      </c>
      <c r="D42" s="252" t="s">
        <v>144</v>
      </c>
      <c r="E42" s="20" t="s">
        <v>145</v>
      </c>
      <c r="F42" s="21" t="s">
        <v>99</v>
      </c>
      <c r="G42" s="20" t="s">
        <v>146</v>
      </c>
      <c r="H42" s="384"/>
    </row>
    <row r="43" spans="2:8" ht="27" x14ac:dyDescent="0.25">
      <c r="B43" s="308" t="s">
        <v>147</v>
      </c>
      <c r="C43" s="20" t="s">
        <v>139</v>
      </c>
      <c r="D43" s="252" t="s">
        <v>148</v>
      </c>
      <c r="E43" s="21" t="s">
        <v>149</v>
      </c>
      <c r="F43" s="21" t="s">
        <v>20</v>
      </c>
      <c r="G43" s="20" t="s">
        <v>150</v>
      </c>
      <c r="H43" s="384"/>
    </row>
    <row r="44" spans="2:8" ht="40.5" x14ac:dyDescent="0.25">
      <c r="B44" s="308" t="s">
        <v>151</v>
      </c>
      <c r="C44" s="20" t="s">
        <v>139</v>
      </c>
      <c r="D44" s="252" t="s">
        <v>152</v>
      </c>
      <c r="E44" s="21" t="s">
        <v>153</v>
      </c>
      <c r="F44" s="21" t="s">
        <v>20</v>
      </c>
      <c r="G44" s="20" t="s">
        <v>154</v>
      </c>
      <c r="H44" s="384"/>
    </row>
    <row r="45" spans="2:8" ht="27" x14ac:dyDescent="0.25">
      <c r="B45" s="308" t="s">
        <v>155</v>
      </c>
      <c r="C45" s="20" t="s">
        <v>139</v>
      </c>
      <c r="D45" s="884" t="s">
        <v>156</v>
      </c>
      <c r="E45" s="21" t="s">
        <v>157</v>
      </c>
      <c r="F45" s="21" t="s">
        <v>99</v>
      </c>
      <c r="G45" s="20" t="s">
        <v>100</v>
      </c>
      <c r="H45" s="384"/>
    </row>
    <row r="46" spans="2:8" x14ac:dyDescent="0.25">
      <c r="B46" s="308" t="s">
        <v>158</v>
      </c>
      <c r="C46" s="20" t="s">
        <v>139</v>
      </c>
      <c r="D46" s="252" t="s">
        <v>159</v>
      </c>
      <c r="E46" s="21" t="s">
        <v>160</v>
      </c>
      <c r="F46" s="21" t="s">
        <v>161</v>
      </c>
      <c r="G46" s="20" t="s">
        <v>100</v>
      </c>
      <c r="H46" s="384"/>
    </row>
    <row r="47" spans="2:8" ht="14.45" customHeight="1" x14ac:dyDescent="0.25">
      <c r="B47" s="942" t="s">
        <v>162</v>
      </c>
      <c r="C47" s="948"/>
      <c r="D47" s="948"/>
      <c r="E47" s="948"/>
      <c r="F47" s="948"/>
      <c r="G47" s="949"/>
      <c r="H47" s="382"/>
    </row>
    <row r="48" spans="2:8" ht="54" x14ac:dyDescent="0.25">
      <c r="B48" s="308" t="s">
        <v>163</v>
      </c>
      <c r="C48" s="20" t="s">
        <v>164</v>
      </c>
      <c r="D48" s="252" t="s">
        <v>165</v>
      </c>
      <c r="E48" s="21" t="s">
        <v>166</v>
      </c>
      <c r="F48" s="21" t="s">
        <v>11</v>
      </c>
      <c r="G48" s="20" t="s">
        <v>167</v>
      </c>
      <c r="H48" s="384"/>
    </row>
    <row r="49" spans="2:8" ht="40.5" x14ac:dyDescent="0.25">
      <c r="B49" s="308" t="s">
        <v>168</v>
      </c>
      <c r="C49" s="20" t="s">
        <v>164</v>
      </c>
      <c r="D49" s="252" t="s">
        <v>169</v>
      </c>
      <c r="E49" s="21" t="s">
        <v>170</v>
      </c>
      <c r="F49" s="21" t="s">
        <v>20</v>
      </c>
      <c r="G49" s="20" t="s">
        <v>171</v>
      </c>
      <c r="H49" s="384"/>
    </row>
    <row r="50" spans="2:8" ht="40.5" x14ac:dyDescent="0.25">
      <c r="B50" s="308" t="s">
        <v>172</v>
      </c>
      <c r="C50" s="20" t="s">
        <v>164</v>
      </c>
      <c r="D50" s="252" t="s">
        <v>173</v>
      </c>
      <c r="E50" s="21" t="s">
        <v>174</v>
      </c>
      <c r="F50" s="21" t="s">
        <v>20</v>
      </c>
      <c r="G50" s="20" t="s">
        <v>175</v>
      </c>
      <c r="H50" s="384"/>
    </row>
    <row r="51" spans="2:8" ht="14.45" customHeight="1" x14ac:dyDescent="0.25">
      <c r="B51" s="942" t="s">
        <v>176</v>
      </c>
      <c r="C51" s="948"/>
      <c r="D51" s="948"/>
      <c r="E51" s="948"/>
      <c r="F51" s="948"/>
      <c r="G51" s="949"/>
      <c r="H51" s="382"/>
    </row>
    <row r="52" spans="2:8" ht="54" x14ac:dyDescent="0.25">
      <c r="B52" s="308" t="s">
        <v>177</v>
      </c>
      <c r="C52" s="20" t="s">
        <v>178</v>
      </c>
      <c r="D52" s="252" t="s">
        <v>179</v>
      </c>
      <c r="E52" s="21" t="s">
        <v>180</v>
      </c>
      <c r="F52" s="21" t="s">
        <v>11</v>
      </c>
      <c r="G52" s="20" t="s">
        <v>181</v>
      </c>
      <c r="H52" s="384"/>
    </row>
    <row r="53" spans="2:8" ht="54" x14ac:dyDescent="0.25">
      <c r="B53" s="308" t="s">
        <v>182</v>
      </c>
      <c r="C53" s="20" t="s">
        <v>178</v>
      </c>
      <c r="D53" s="252" t="s">
        <v>183</v>
      </c>
      <c r="E53" s="21" t="s">
        <v>180</v>
      </c>
      <c r="F53" s="21" t="s">
        <v>11</v>
      </c>
      <c r="G53" s="20" t="s">
        <v>181</v>
      </c>
      <c r="H53" s="384"/>
    </row>
    <row r="54" spans="2:8" ht="54" x14ac:dyDescent="0.25">
      <c r="B54" s="308" t="s">
        <v>184</v>
      </c>
      <c r="C54" s="20" t="s">
        <v>178</v>
      </c>
      <c r="D54" s="252" t="s">
        <v>185</v>
      </c>
      <c r="E54" s="21" t="s">
        <v>180</v>
      </c>
      <c r="F54" s="21" t="s">
        <v>11</v>
      </c>
      <c r="G54" s="20" t="s">
        <v>181</v>
      </c>
      <c r="H54" s="384"/>
    </row>
    <row r="55" spans="2:8" ht="54" x14ac:dyDescent="0.25">
      <c r="B55" s="308" t="s">
        <v>186</v>
      </c>
      <c r="C55" s="20" t="s">
        <v>178</v>
      </c>
      <c r="D55" s="252" t="s">
        <v>187</v>
      </c>
      <c r="E55" s="21" t="s">
        <v>180</v>
      </c>
      <c r="F55" s="21" t="s">
        <v>11</v>
      </c>
      <c r="G55" s="20" t="s">
        <v>188</v>
      </c>
      <c r="H55" s="384"/>
    </row>
    <row r="56" spans="2:8" ht="67.5" x14ac:dyDescent="0.25">
      <c r="B56" s="308" t="s">
        <v>189</v>
      </c>
      <c r="C56" s="20" t="s">
        <v>178</v>
      </c>
      <c r="D56" s="252" t="s">
        <v>190</v>
      </c>
      <c r="E56" s="21" t="s">
        <v>191</v>
      </c>
      <c r="F56" s="21" t="s">
        <v>11</v>
      </c>
      <c r="G56" s="20" t="s">
        <v>192</v>
      </c>
      <c r="H56" s="384"/>
    </row>
    <row r="57" spans="2:8" ht="40.5" x14ac:dyDescent="0.25">
      <c r="B57" s="308" t="s">
        <v>193</v>
      </c>
      <c r="C57" s="20" t="s">
        <v>178</v>
      </c>
      <c r="D57" s="252" t="s">
        <v>194</v>
      </c>
      <c r="E57" s="21" t="s">
        <v>195</v>
      </c>
      <c r="F57" s="21" t="s">
        <v>11</v>
      </c>
      <c r="G57" s="20" t="s">
        <v>196</v>
      </c>
      <c r="H57" s="384"/>
    </row>
    <row r="58" spans="2:8" ht="67.5" x14ac:dyDescent="0.25">
      <c r="B58" s="308" t="s">
        <v>197</v>
      </c>
      <c r="C58" s="20" t="s">
        <v>178</v>
      </c>
      <c r="D58" s="252" t="s">
        <v>198</v>
      </c>
      <c r="E58" s="21" t="s">
        <v>199</v>
      </c>
      <c r="F58" s="21" t="s">
        <v>11</v>
      </c>
      <c r="G58" s="20" t="s">
        <v>200</v>
      </c>
      <c r="H58" s="384"/>
    </row>
    <row r="59" spans="2:8" ht="40.5" x14ac:dyDescent="0.25">
      <c r="B59" s="308" t="s">
        <v>201</v>
      </c>
      <c r="C59" s="20" t="s">
        <v>178</v>
      </c>
      <c r="D59" s="252" t="s">
        <v>202</v>
      </c>
      <c r="E59" s="21" t="s">
        <v>203</v>
      </c>
      <c r="F59" s="21" t="s">
        <v>20</v>
      </c>
      <c r="G59" s="20" t="s">
        <v>204</v>
      </c>
      <c r="H59" s="384"/>
    </row>
    <row r="60" spans="2:8" ht="67.5" x14ac:dyDescent="0.25">
      <c r="B60" s="308" t="s">
        <v>205</v>
      </c>
      <c r="C60" s="20" t="s">
        <v>206</v>
      </c>
      <c r="D60" s="252" t="s">
        <v>207</v>
      </c>
      <c r="E60" s="21" t="s">
        <v>208</v>
      </c>
      <c r="F60" s="21" t="s">
        <v>20</v>
      </c>
      <c r="G60" s="20" t="s">
        <v>209</v>
      </c>
      <c r="H60" s="384"/>
    </row>
    <row r="61" spans="2:8" ht="14.45" customHeight="1" x14ac:dyDescent="0.25">
      <c r="B61" s="942" t="s">
        <v>210</v>
      </c>
      <c r="C61" s="948"/>
      <c r="D61" s="948"/>
      <c r="E61" s="948"/>
      <c r="F61" s="948"/>
      <c r="G61" s="949"/>
      <c r="H61" s="382"/>
    </row>
    <row r="62" spans="2:8" ht="27" x14ac:dyDescent="0.25">
      <c r="B62" s="308" t="s">
        <v>211</v>
      </c>
      <c r="C62" s="20" t="s">
        <v>212</v>
      </c>
      <c r="D62" s="252" t="s">
        <v>213</v>
      </c>
      <c r="E62" s="21" t="s">
        <v>214</v>
      </c>
      <c r="F62" s="21" t="s">
        <v>99</v>
      </c>
      <c r="G62" s="20" t="s">
        <v>215</v>
      </c>
      <c r="H62" s="384"/>
    </row>
    <row r="63" spans="2:8" ht="40.5" x14ac:dyDescent="0.25">
      <c r="B63" s="308" t="s">
        <v>216</v>
      </c>
      <c r="C63" s="20" t="s">
        <v>212</v>
      </c>
      <c r="D63" s="252" t="s">
        <v>217</v>
      </c>
      <c r="E63" s="21" t="s">
        <v>218</v>
      </c>
      <c r="F63" s="21" t="s">
        <v>11</v>
      </c>
      <c r="G63" s="20" t="s">
        <v>219</v>
      </c>
      <c r="H63" s="384"/>
    </row>
    <row r="64" spans="2:8" ht="40.5" x14ac:dyDescent="0.25">
      <c r="B64" s="308" t="s">
        <v>220</v>
      </c>
      <c r="C64" s="20" t="s">
        <v>212</v>
      </c>
      <c r="D64" s="252" t="s">
        <v>221</v>
      </c>
      <c r="E64" s="21" t="s">
        <v>222</v>
      </c>
      <c r="F64" s="21" t="s">
        <v>223</v>
      </c>
      <c r="G64" s="20" t="s">
        <v>224</v>
      </c>
      <c r="H64" s="384"/>
    </row>
    <row r="65" spans="2:8" ht="27" x14ac:dyDescent="0.25">
      <c r="B65" s="308" t="s">
        <v>225</v>
      </c>
      <c r="C65" s="20" t="s">
        <v>212</v>
      </c>
      <c r="D65" s="252" t="s">
        <v>226</v>
      </c>
      <c r="E65" s="21" t="s">
        <v>227</v>
      </c>
      <c r="F65" s="21" t="s">
        <v>11</v>
      </c>
      <c r="G65" s="20" t="s">
        <v>228</v>
      </c>
      <c r="H65" s="384"/>
    </row>
    <row r="66" spans="2:8" ht="27" x14ac:dyDescent="0.25">
      <c r="B66" s="308" t="s">
        <v>229</v>
      </c>
      <c r="C66" s="20" t="s">
        <v>212</v>
      </c>
      <c r="D66" s="252" t="s">
        <v>230</v>
      </c>
      <c r="E66" s="21" t="s">
        <v>231</v>
      </c>
      <c r="F66" s="21" t="s">
        <v>20</v>
      </c>
      <c r="G66" s="20"/>
      <c r="H66" s="384"/>
    </row>
    <row r="67" spans="2:8" ht="14.45" customHeight="1" x14ac:dyDescent="0.25">
      <c r="B67" s="942" t="s">
        <v>232</v>
      </c>
      <c r="C67" s="948"/>
      <c r="D67" s="948"/>
      <c r="E67" s="948"/>
      <c r="F67" s="948"/>
      <c r="G67" s="949"/>
      <c r="H67" s="382"/>
    </row>
    <row r="68" spans="2:8" ht="40.5" x14ac:dyDescent="0.25">
      <c r="B68" s="308" t="s">
        <v>233</v>
      </c>
      <c r="C68" s="20" t="s">
        <v>234</v>
      </c>
      <c r="D68" s="252" t="s">
        <v>235</v>
      </c>
      <c r="E68" s="21" t="s">
        <v>236</v>
      </c>
      <c r="F68" s="21" t="s">
        <v>11</v>
      </c>
      <c r="G68" s="20" t="s">
        <v>237</v>
      </c>
      <c r="H68" s="384"/>
    </row>
    <row r="69" spans="2:8" ht="27" x14ac:dyDescent="0.25">
      <c r="B69" s="308" t="s">
        <v>238</v>
      </c>
      <c r="C69" s="20" t="s">
        <v>239</v>
      </c>
      <c r="D69" s="252" t="s">
        <v>240</v>
      </c>
      <c r="E69" s="21" t="s">
        <v>241</v>
      </c>
      <c r="F69" s="21" t="s">
        <v>20</v>
      </c>
      <c r="G69" s="20" t="s">
        <v>242</v>
      </c>
      <c r="H69" s="384"/>
    </row>
    <row r="70" spans="2:8" ht="14.45" customHeight="1" x14ac:dyDescent="0.25">
      <c r="B70" s="942" t="s">
        <v>243</v>
      </c>
      <c r="C70" s="948"/>
      <c r="D70" s="948"/>
      <c r="E70" s="948"/>
      <c r="F70" s="948"/>
      <c r="G70" s="949"/>
      <c r="H70" s="382"/>
    </row>
    <row r="71" spans="2:8" ht="27" x14ac:dyDescent="0.25">
      <c r="B71" s="308" t="s">
        <v>244</v>
      </c>
      <c r="C71" s="20" t="s">
        <v>245</v>
      </c>
      <c r="D71" s="252" t="s">
        <v>246</v>
      </c>
      <c r="E71" s="21" t="s">
        <v>247</v>
      </c>
      <c r="F71" s="21" t="s">
        <v>11</v>
      </c>
      <c r="G71" s="20" t="s">
        <v>100</v>
      </c>
      <c r="H71" s="384"/>
    </row>
    <row r="72" spans="2:8" ht="40.5" x14ac:dyDescent="0.25">
      <c r="B72" s="308" t="s">
        <v>248</v>
      </c>
      <c r="C72" s="20" t="s">
        <v>245</v>
      </c>
      <c r="D72" s="252" t="s">
        <v>249</v>
      </c>
      <c r="E72" s="21" t="s">
        <v>250</v>
      </c>
      <c r="F72" s="21" t="s">
        <v>20</v>
      </c>
      <c r="G72" s="20" t="s">
        <v>251</v>
      </c>
      <c r="H72" s="384"/>
    </row>
    <row r="73" spans="2:8" x14ac:dyDescent="0.25">
      <c r="B73" s="308" t="s">
        <v>252</v>
      </c>
      <c r="C73" s="20" t="s">
        <v>245</v>
      </c>
      <c r="D73" s="252" t="s">
        <v>253</v>
      </c>
      <c r="E73" s="21" t="s">
        <v>254</v>
      </c>
      <c r="F73" s="21" t="s">
        <v>11</v>
      </c>
      <c r="G73" s="20" t="s">
        <v>100</v>
      </c>
      <c r="H73" s="384"/>
    </row>
    <row r="74" spans="2:8" ht="94.5" x14ac:dyDescent="0.25">
      <c r="B74" s="308" t="s">
        <v>255</v>
      </c>
      <c r="C74" s="20" t="s">
        <v>245</v>
      </c>
      <c r="D74" s="252" t="s">
        <v>256</v>
      </c>
      <c r="E74" s="21" t="s">
        <v>257</v>
      </c>
      <c r="F74" s="21" t="s">
        <v>11</v>
      </c>
      <c r="G74" s="20" t="s">
        <v>258</v>
      </c>
      <c r="H74" s="384"/>
    </row>
    <row r="75" spans="2:8" ht="27" x14ac:dyDescent="0.25">
      <c r="B75" s="308" t="s">
        <v>259</v>
      </c>
      <c r="C75" s="20" t="s">
        <v>245</v>
      </c>
      <c r="D75" s="252" t="s">
        <v>260</v>
      </c>
      <c r="E75" s="21" t="s">
        <v>261</v>
      </c>
      <c r="F75" s="21" t="s">
        <v>20</v>
      </c>
      <c r="G75" s="20" t="s">
        <v>100</v>
      </c>
      <c r="H75" s="384"/>
    </row>
    <row r="76" spans="2:8" ht="27" x14ac:dyDescent="0.25">
      <c r="B76" s="308" t="s">
        <v>262</v>
      </c>
      <c r="C76" s="20" t="s">
        <v>245</v>
      </c>
      <c r="D76" s="252" t="s">
        <v>263</v>
      </c>
      <c r="E76" s="21" t="s">
        <v>264</v>
      </c>
      <c r="F76" s="21" t="s">
        <v>99</v>
      </c>
      <c r="G76" s="20" t="s">
        <v>265</v>
      </c>
      <c r="H76" s="384"/>
    </row>
    <row r="77" spans="2:8" ht="14.45" customHeight="1" x14ac:dyDescent="0.25">
      <c r="B77" s="942" t="s">
        <v>266</v>
      </c>
      <c r="C77" s="948"/>
      <c r="D77" s="948"/>
      <c r="E77" s="948"/>
      <c r="F77" s="948"/>
      <c r="G77" s="949"/>
      <c r="H77" s="382"/>
    </row>
    <row r="78" spans="2:8" ht="270" x14ac:dyDescent="0.25">
      <c r="B78" s="308" t="s">
        <v>267</v>
      </c>
      <c r="C78" s="20" t="s">
        <v>268</v>
      </c>
      <c r="D78" s="252" t="s">
        <v>269</v>
      </c>
      <c r="E78" s="21" t="s">
        <v>270</v>
      </c>
      <c r="F78" s="21" t="s">
        <v>11</v>
      </c>
      <c r="G78" s="20" t="s">
        <v>271</v>
      </c>
      <c r="H78" s="384"/>
    </row>
    <row r="79" spans="2:8" ht="108" x14ac:dyDescent="0.25">
      <c r="B79" s="308" t="s">
        <v>272</v>
      </c>
      <c r="C79" s="20" t="s">
        <v>268</v>
      </c>
      <c r="D79" s="252" t="s">
        <v>273</v>
      </c>
      <c r="E79" s="21" t="s">
        <v>274</v>
      </c>
      <c r="F79" s="21" t="s">
        <v>11</v>
      </c>
      <c r="G79" s="20" t="s">
        <v>275</v>
      </c>
      <c r="H79" s="384"/>
    </row>
    <row r="80" spans="2:8" ht="54" x14ac:dyDescent="0.25">
      <c r="B80" s="308" t="s">
        <v>276</v>
      </c>
      <c r="C80" s="20" t="s">
        <v>268</v>
      </c>
      <c r="D80" s="252" t="s">
        <v>277</v>
      </c>
      <c r="E80" s="21" t="s">
        <v>278</v>
      </c>
      <c r="F80" s="21" t="s">
        <v>99</v>
      </c>
      <c r="G80" s="20" t="s">
        <v>279</v>
      </c>
      <c r="H80" s="384"/>
    </row>
    <row r="81" spans="2:8" ht="27" x14ac:dyDescent="0.25">
      <c r="B81" s="54" t="s">
        <v>280</v>
      </c>
      <c r="C81" s="20" t="s">
        <v>268</v>
      </c>
      <c r="D81" s="252" t="s">
        <v>281</v>
      </c>
      <c r="E81" s="21"/>
      <c r="F81" s="21"/>
      <c r="G81" s="20" t="s">
        <v>119</v>
      </c>
      <c r="H81" s="384"/>
    </row>
    <row r="82" spans="2:8" ht="14.45" customHeight="1" x14ac:dyDescent="0.25">
      <c r="B82" s="942" t="s">
        <v>282</v>
      </c>
      <c r="C82" s="943"/>
      <c r="D82" s="943"/>
      <c r="E82" s="943"/>
      <c r="F82" s="943"/>
      <c r="G82" s="944"/>
      <c r="H82" s="385"/>
    </row>
    <row r="83" spans="2:8" ht="27" x14ac:dyDescent="0.25">
      <c r="B83" s="347" t="s">
        <v>283</v>
      </c>
      <c r="C83" s="22" t="s">
        <v>284</v>
      </c>
      <c r="D83" s="391" t="s">
        <v>285</v>
      </c>
      <c r="E83" s="23" t="s">
        <v>286</v>
      </c>
      <c r="F83" s="23" t="s">
        <v>11</v>
      </c>
      <c r="G83" s="22" t="s">
        <v>100</v>
      </c>
      <c r="H83" s="384"/>
    </row>
    <row r="84" spans="2:8" ht="27" x14ac:dyDescent="0.25">
      <c r="B84" s="347" t="s">
        <v>287</v>
      </c>
      <c r="C84" s="22" t="s">
        <v>284</v>
      </c>
      <c r="D84" s="391" t="s">
        <v>288</v>
      </c>
      <c r="E84" s="23" t="s">
        <v>286</v>
      </c>
      <c r="F84" s="23" t="s">
        <v>11</v>
      </c>
      <c r="G84" s="22" t="s">
        <v>100</v>
      </c>
      <c r="H84" s="384"/>
    </row>
    <row r="85" spans="2:8" x14ac:dyDescent="0.25">
      <c r="B85" s="347" t="s">
        <v>289</v>
      </c>
      <c r="C85" s="23" t="s">
        <v>290</v>
      </c>
      <c r="D85" s="391" t="s">
        <v>291</v>
      </c>
      <c r="E85" s="23" t="s">
        <v>286</v>
      </c>
      <c r="F85" s="23" t="s">
        <v>11</v>
      </c>
      <c r="G85" s="22" t="s">
        <v>100</v>
      </c>
      <c r="H85" s="384"/>
    </row>
    <row r="86" spans="2:8" x14ac:dyDescent="0.25">
      <c r="B86" s="347" t="s">
        <v>292</v>
      </c>
      <c r="C86" s="22" t="s">
        <v>293</v>
      </c>
      <c r="D86" s="391" t="s">
        <v>294</v>
      </c>
      <c r="E86" s="23"/>
      <c r="F86" s="23" t="s">
        <v>20</v>
      </c>
      <c r="G86" s="22" t="s">
        <v>100</v>
      </c>
      <c r="H86" s="384"/>
    </row>
    <row r="87" spans="2:8" ht="135" x14ac:dyDescent="0.25">
      <c r="B87" s="347" t="s">
        <v>295</v>
      </c>
      <c r="C87" s="22" t="s">
        <v>284</v>
      </c>
      <c r="D87" s="391" t="s">
        <v>296</v>
      </c>
      <c r="E87" s="23" t="s">
        <v>286</v>
      </c>
      <c r="F87" s="23" t="s">
        <v>11</v>
      </c>
      <c r="G87" s="22" t="s">
        <v>297</v>
      </c>
      <c r="H87" s="384"/>
    </row>
    <row r="88" spans="2:8" ht="14.45" customHeight="1" x14ac:dyDescent="0.25">
      <c r="B88" s="942" t="s">
        <v>298</v>
      </c>
      <c r="C88" s="943"/>
      <c r="D88" s="943"/>
      <c r="E88" s="943"/>
      <c r="F88" s="943"/>
      <c r="G88" s="944"/>
      <c r="H88" s="385"/>
    </row>
    <row r="89" spans="2:8" ht="148.5" x14ac:dyDescent="0.25">
      <c r="B89" s="349" t="s">
        <v>299</v>
      </c>
      <c r="C89" s="24" t="s">
        <v>300</v>
      </c>
      <c r="D89" s="55" t="s">
        <v>301</v>
      </c>
      <c r="E89" s="25" t="s">
        <v>302</v>
      </c>
      <c r="F89" s="25" t="s">
        <v>11</v>
      </c>
      <c r="G89" s="24" t="s">
        <v>303</v>
      </c>
      <c r="H89" s="384"/>
    </row>
    <row r="90" spans="2:8" ht="243" x14ac:dyDescent="0.25">
      <c r="B90" s="349" t="s">
        <v>304</v>
      </c>
      <c r="C90" s="24" t="s">
        <v>300</v>
      </c>
      <c r="D90" s="55" t="s">
        <v>305</v>
      </c>
      <c r="E90" s="25" t="s">
        <v>306</v>
      </c>
      <c r="F90" s="25" t="s">
        <v>161</v>
      </c>
      <c r="G90" s="24" t="s">
        <v>307</v>
      </c>
      <c r="H90" s="384"/>
    </row>
    <row r="91" spans="2:8" ht="14.45" customHeight="1" x14ac:dyDescent="0.25">
      <c r="B91" s="942" t="s">
        <v>308</v>
      </c>
      <c r="C91" s="943"/>
      <c r="D91" s="943"/>
      <c r="E91" s="943"/>
      <c r="F91" s="943"/>
      <c r="G91" s="944"/>
      <c r="H91" s="385"/>
    </row>
    <row r="92" spans="2:8" x14ac:dyDescent="0.25">
      <c r="B92" s="56" t="s">
        <v>309</v>
      </c>
      <c r="C92" s="27" t="s">
        <v>310</v>
      </c>
      <c r="D92" s="258" t="s">
        <v>311</v>
      </c>
      <c r="E92" s="27" t="s">
        <v>10</v>
      </c>
      <c r="F92" s="27" t="s">
        <v>11</v>
      </c>
      <c r="G92" s="950" t="s">
        <v>119</v>
      </c>
      <c r="H92" s="384"/>
    </row>
    <row r="93" spans="2:8" ht="40.5" x14ac:dyDescent="0.25">
      <c r="B93" s="56" t="s">
        <v>312</v>
      </c>
      <c r="C93" s="26" t="s">
        <v>313</v>
      </c>
      <c r="D93" s="258" t="s">
        <v>314</v>
      </c>
      <c r="E93" s="27"/>
      <c r="F93" s="27" t="s">
        <v>11</v>
      </c>
      <c r="G93" s="951"/>
      <c r="H93" s="384"/>
    </row>
    <row r="94" spans="2:8" ht="27" x14ac:dyDescent="0.25">
      <c r="B94" s="56" t="s">
        <v>315</v>
      </c>
      <c r="C94" s="26" t="s">
        <v>313</v>
      </c>
      <c r="D94" s="258" t="s">
        <v>316</v>
      </c>
      <c r="E94" s="27"/>
      <c r="F94" s="27" t="s">
        <v>99</v>
      </c>
      <c r="G94" s="951"/>
      <c r="H94" s="384"/>
    </row>
    <row r="95" spans="2:8" ht="14.45" customHeight="1" x14ac:dyDescent="0.25">
      <c r="B95" s="56" t="s">
        <v>317</v>
      </c>
      <c r="C95" s="26" t="s">
        <v>313</v>
      </c>
      <c r="D95" s="258" t="s">
        <v>318</v>
      </c>
      <c r="E95" s="27" t="s">
        <v>10</v>
      </c>
      <c r="F95" s="27" t="s">
        <v>11</v>
      </c>
      <c r="G95" s="951"/>
      <c r="H95" s="384"/>
    </row>
    <row r="96" spans="2:8" ht="54" x14ac:dyDescent="0.25">
      <c r="B96" s="56" t="s">
        <v>319</v>
      </c>
      <c r="C96" s="26" t="s">
        <v>313</v>
      </c>
      <c r="D96" s="258" t="s">
        <v>320</v>
      </c>
      <c r="E96" s="27"/>
      <c r="F96" s="27" t="s">
        <v>11</v>
      </c>
      <c r="G96" s="952"/>
      <c r="H96" s="384"/>
    </row>
    <row r="97" spans="2:8" ht="14.45" customHeight="1" x14ac:dyDescent="0.25">
      <c r="B97" s="942" t="s">
        <v>321</v>
      </c>
      <c r="C97" s="943"/>
      <c r="D97" s="943"/>
      <c r="E97" s="943"/>
      <c r="F97" s="943"/>
      <c r="G97" s="944"/>
      <c r="H97" s="385"/>
    </row>
    <row r="98" spans="2:8" ht="72.75" customHeight="1" x14ac:dyDescent="0.25">
      <c r="B98" s="350" t="s">
        <v>322</v>
      </c>
      <c r="C98" s="30" t="s">
        <v>323</v>
      </c>
      <c r="D98" s="58" t="s">
        <v>324</v>
      </c>
      <c r="E98" s="31" t="s">
        <v>325</v>
      </c>
      <c r="F98" s="31" t="s">
        <v>20</v>
      </c>
      <c r="G98" s="889" t="s">
        <v>326</v>
      </c>
      <c r="H98" s="386"/>
    </row>
    <row r="99" spans="2:8" ht="54" x14ac:dyDescent="0.25">
      <c r="B99" s="58" t="s">
        <v>327</v>
      </c>
      <c r="C99" s="30" t="s">
        <v>328</v>
      </c>
      <c r="D99" s="58" t="s">
        <v>329</v>
      </c>
      <c r="E99" s="31" t="s">
        <v>330</v>
      </c>
      <c r="F99" s="31" t="s">
        <v>20</v>
      </c>
      <c r="G99" s="890" t="s">
        <v>119</v>
      </c>
      <c r="H99" s="386"/>
    </row>
    <row r="100" spans="2:8" ht="67.5" x14ac:dyDescent="0.25">
      <c r="B100" s="58" t="s">
        <v>331</v>
      </c>
      <c r="C100" s="30" t="s">
        <v>332</v>
      </c>
      <c r="D100" s="58" t="s">
        <v>333</v>
      </c>
      <c r="E100" s="31" t="s">
        <v>334</v>
      </c>
      <c r="F100" s="31" t="s">
        <v>20</v>
      </c>
      <c r="G100" s="891" t="s">
        <v>119</v>
      </c>
      <c r="H100" s="386"/>
    </row>
    <row r="101" spans="2:8" ht="14.45" customHeight="1" x14ac:dyDescent="0.25">
      <c r="B101" s="942" t="s">
        <v>335</v>
      </c>
      <c r="C101" s="943"/>
      <c r="D101" s="943"/>
      <c r="E101" s="943"/>
      <c r="F101" s="943"/>
      <c r="G101" s="944"/>
      <c r="H101" s="385"/>
    </row>
    <row r="102" spans="2:8" ht="40.5" x14ac:dyDescent="0.25">
      <c r="B102" s="254" t="s">
        <v>336</v>
      </c>
      <c r="C102" s="255" t="s">
        <v>284</v>
      </c>
      <c r="D102" s="254" t="s">
        <v>337</v>
      </c>
      <c r="E102" s="256" t="s">
        <v>338</v>
      </c>
      <c r="F102" s="256" t="s">
        <v>11</v>
      </c>
      <c r="G102" s="255" t="s">
        <v>339</v>
      </c>
      <c r="H102" s="384"/>
    </row>
    <row r="103" spans="2:8" x14ac:dyDescent="0.25">
      <c r="B103" s="254" t="s">
        <v>340</v>
      </c>
      <c r="C103" s="255" t="s">
        <v>290</v>
      </c>
      <c r="D103" s="254" t="s">
        <v>291</v>
      </c>
      <c r="E103" s="256" t="s">
        <v>341</v>
      </c>
      <c r="F103" s="256" t="s">
        <v>11</v>
      </c>
      <c r="G103" s="255" t="s">
        <v>339</v>
      </c>
      <c r="H103" s="384"/>
    </row>
    <row r="104" spans="2:8" ht="40.5" x14ac:dyDescent="0.25">
      <c r="B104" s="254" t="s">
        <v>342</v>
      </c>
      <c r="C104" s="255" t="s">
        <v>343</v>
      </c>
      <c r="D104" s="254" t="s">
        <v>344</v>
      </c>
      <c r="E104" s="256" t="s">
        <v>345</v>
      </c>
      <c r="F104" s="256" t="s">
        <v>99</v>
      </c>
      <c r="G104" s="255" t="s">
        <v>339</v>
      </c>
      <c r="H104" s="384"/>
    </row>
    <row r="105" spans="2:8" ht="40.5" x14ac:dyDescent="0.25">
      <c r="B105" s="254" t="s">
        <v>346</v>
      </c>
      <c r="C105" s="255" t="s">
        <v>347</v>
      </c>
      <c r="D105" s="254" t="s">
        <v>348</v>
      </c>
      <c r="E105" s="256" t="s">
        <v>349</v>
      </c>
      <c r="F105" s="256" t="s">
        <v>20</v>
      </c>
      <c r="G105" s="255" t="s">
        <v>350</v>
      </c>
      <c r="H105" s="384"/>
    </row>
    <row r="106" spans="2:8" ht="40.5" x14ac:dyDescent="0.25">
      <c r="B106" s="254" t="s">
        <v>351</v>
      </c>
      <c r="C106" s="255" t="s">
        <v>352</v>
      </c>
      <c r="D106" s="254" t="s">
        <v>353</v>
      </c>
      <c r="E106" s="256" t="s">
        <v>354</v>
      </c>
      <c r="F106" s="256" t="s">
        <v>20</v>
      </c>
      <c r="G106" s="255" t="s">
        <v>350</v>
      </c>
      <c r="H106" s="384"/>
    </row>
    <row r="107" spans="2:8" ht="27" x14ac:dyDescent="0.25">
      <c r="B107" s="254" t="s">
        <v>355</v>
      </c>
      <c r="C107" s="255" t="s">
        <v>356</v>
      </c>
      <c r="D107" s="254" t="s">
        <v>357</v>
      </c>
      <c r="E107" s="256" t="s">
        <v>358</v>
      </c>
      <c r="F107" s="256" t="s">
        <v>11</v>
      </c>
      <c r="G107" s="255" t="s">
        <v>339</v>
      </c>
      <c r="H107" s="384"/>
    </row>
    <row r="108" spans="2:8" ht="27" x14ac:dyDescent="0.25">
      <c r="B108" s="254" t="s">
        <v>359</v>
      </c>
      <c r="C108" s="255" t="s">
        <v>293</v>
      </c>
      <c r="D108" s="254" t="s">
        <v>360</v>
      </c>
      <c r="E108" s="256"/>
      <c r="F108" s="256" t="s">
        <v>20</v>
      </c>
      <c r="G108" s="255" t="s">
        <v>350</v>
      </c>
      <c r="H108" s="384"/>
    </row>
    <row r="109" spans="2:8" ht="40.5" x14ac:dyDescent="0.25">
      <c r="B109" s="254" t="s">
        <v>361</v>
      </c>
      <c r="C109" s="255" t="s">
        <v>362</v>
      </c>
      <c r="D109" s="254" t="s">
        <v>363</v>
      </c>
      <c r="E109" s="256" t="s">
        <v>364</v>
      </c>
      <c r="F109" s="256" t="s">
        <v>99</v>
      </c>
      <c r="G109" s="255" t="s">
        <v>365</v>
      </c>
      <c r="H109" s="384"/>
    </row>
    <row r="110" spans="2:8" x14ac:dyDescent="0.25">
      <c r="B110" s="254" t="s">
        <v>366</v>
      </c>
      <c r="C110" s="255" t="s">
        <v>367</v>
      </c>
      <c r="D110" s="254" t="s">
        <v>368</v>
      </c>
      <c r="E110" s="256" t="s">
        <v>369</v>
      </c>
      <c r="F110" s="256" t="s">
        <v>11</v>
      </c>
      <c r="G110" s="255" t="s">
        <v>339</v>
      </c>
      <c r="H110" s="384"/>
    </row>
    <row r="111" spans="2:8" ht="40.5" x14ac:dyDescent="0.25">
      <c r="B111" s="254" t="s">
        <v>370</v>
      </c>
      <c r="C111" s="255" t="s">
        <v>371</v>
      </c>
      <c r="D111" s="254" t="s">
        <v>372</v>
      </c>
      <c r="E111" s="256" t="s">
        <v>373</v>
      </c>
      <c r="F111" s="256" t="s">
        <v>99</v>
      </c>
      <c r="G111" s="255" t="s">
        <v>374</v>
      </c>
      <c r="H111" s="384"/>
    </row>
    <row r="112" spans="2:8" ht="27" x14ac:dyDescent="0.25">
      <c r="B112" s="254" t="s">
        <v>375</v>
      </c>
      <c r="C112" s="255" t="s">
        <v>367</v>
      </c>
      <c r="D112" s="254" t="s">
        <v>376</v>
      </c>
      <c r="E112" s="256" t="s">
        <v>377</v>
      </c>
      <c r="F112" s="256" t="s">
        <v>20</v>
      </c>
      <c r="G112" s="255" t="s">
        <v>339</v>
      </c>
      <c r="H112" s="384"/>
    </row>
    <row r="113" spans="2:8" x14ac:dyDescent="0.25">
      <c r="B113" s="254" t="s">
        <v>378</v>
      </c>
      <c r="C113" s="255" t="s">
        <v>367</v>
      </c>
      <c r="D113" s="254" t="s">
        <v>379</v>
      </c>
      <c r="E113" s="256" t="s">
        <v>380</v>
      </c>
      <c r="F113" s="256" t="s">
        <v>20</v>
      </c>
      <c r="G113" s="255" t="s">
        <v>381</v>
      </c>
      <c r="H113" s="384"/>
    </row>
    <row r="114" spans="2:8" x14ac:dyDescent="0.25">
      <c r="B114" s="254" t="s">
        <v>382</v>
      </c>
      <c r="C114" s="255" t="s">
        <v>383</v>
      </c>
      <c r="D114" s="254" t="s">
        <v>384</v>
      </c>
      <c r="E114" s="256" t="s">
        <v>385</v>
      </c>
      <c r="F114" s="256" t="s">
        <v>20</v>
      </c>
      <c r="G114" s="255" t="s">
        <v>386</v>
      </c>
      <c r="H114" s="384"/>
    </row>
    <row r="115" spans="2:8" ht="14.45" customHeight="1" x14ac:dyDescent="0.25">
      <c r="B115" s="942" t="s">
        <v>387</v>
      </c>
      <c r="C115" s="943"/>
      <c r="D115" s="943"/>
      <c r="E115" s="943"/>
      <c r="F115" s="943"/>
      <c r="G115" s="944"/>
      <c r="H115" s="385"/>
    </row>
    <row r="116" spans="2:8" ht="27" x14ac:dyDescent="0.25">
      <c r="B116" s="57" t="s">
        <v>388</v>
      </c>
      <c r="C116" s="28" t="s">
        <v>389</v>
      </c>
      <c r="D116" s="885" t="s">
        <v>390</v>
      </c>
      <c r="E116" s="29" t="s">
        <v>10</v>
      </c>
      <c r="F116" s="29" t="s">
        <v>11</v>
      </c>
      <c r="G116" s="28" t="s">
        <v>391</v>
      </c>
      <c r="H116" s="384"/>
    </row>
    <row r="117" spans="2:8" ht="94.5" x14ac:dyDescent="0.25">
      <c r="B117" s="57" t="s">
        <v>392</v>
      </c>
      <c r="C117" s="28" t="s">
        <v>393</v>
      </c>
      <c r="D117" s="885" t="s">
        <v>394</v>
      </c>
      <c r="E117" s="29" t="s">
        <v>395</v>
      </c>
      <c r="F117" s="29" t="s">
        <v>20</v>
      </c>
      <c r="G117" s="356" t="s">
        <v>396</v>
      </c>
      <c r="H117" s="383"/>
    </row>
    <row r="137" spans="4:4" x14ac:dyDescent="0.25">
      <c r="D137" s="886"/>
    </row>
    <row r="138" spans="4:4" x14ac:dyDescent="0.25">
      <c r="D138" s="887"/>
    </row>
  </sheetData>
  <autoFilter ref="B1:G68" xr:uid="{728FBF06-A090-48C3-BDF5-9455F3E9FCF3}"/>
  <mergeCells count="21">
    <mergeCell ref="G26:G30"/>
    <mergeCell ref="B2:G2"/>
    <mergeCell ref="B16:G16"/>
    <mergeCell ref="B21:G21"/>
    <mergeCell ref="B25:G25"/>
    <mergeCell ref="B115:G115"/>
    <mergeCell ref="B31:G31"/>
    <mergeCell ref="B37:G37"/>
    <mergeCell ref="B40:G40"/>
    <mergeCell ref="B47:G47"/>
    <mergeCell ref="B51:G51"/>
    <mergeCell ref="B97:G97"/>
    <mergeCell ref="B101:G101"/>
    <mergeCell ref="B61:G61"/>
    <mergeCell ref="B67:G67"/>
    <mergeCell ref="B70:G70"/>
    <mergeCell ref="B77:G77"/>
    <mergeCell ref="G92:G96"/>
    <mergeCell ref="B82:G82"/>
    <mergeCell ref="B88:G88"/>
    <mergeCell ref="B91:G91"/>
  </mergeCells>
  <phoneticPr fontId="16" type="noConversion"/>
  <hyperlinks>
    <hyperlink ref="B3" location="'HO1'!A1" display="HO1" xr:uid="{A1C677A7-FB40-4F49-973D-82B4F9646465}"/>
    <hyperlink ref="B5" location="'HO3'!A1" display="HO3" xr:uid="{F032222B-E895-42ED-872E-C98F6A61F791}"/>
    <hyperlink ref="B6" location="'HO4'!A1" display="HO4" xr:uid="{F09DB2BC-9BEE-4734-A3D1-A80E842AB8EE}"/>
    <hyperlink ref="B26" location="'TR13-18'!A1" display="TR1" xr:uid="{2AF8CA0E-4396-491C-8285-744728DD1B26}"/>
    <hyperlink ref="B41" location="'TR1-5'!A1" display="TR13" xr:uid="{714DAD76-D41F-4D28-A240-B034E6E97EBA}"/>
    <hyperlink ref="B38" location="'TR11'!A1" display="TR11" xr:uid="{BF1B003C-C890-4361-A659-113E4D7060A0}"/>
    <hyperlink ref="B39" location="'TR12'!A1" display="TR12" xr:uid="{7B9EB40C-B0CE-45D1-9642-420C9CC2EA12}"/>
    <hyperlink ref="B48" location="'TR19-21'!A1" display="TR19" xr:uid="{B01522D0-BB2A-470A-B5BE-0AA0F8222E8E}"/>
    <hyperlink ref="B52" location="'TR22-29'!A1" display="TR22" xr:uid="{3905423D-DEA6-49BB-BE82-D54D1BCAB68B}"/>
    <hyperlink ref="B55" location="'TR22-29'!A1" display="TR25" xr:uid="{AB3E6A2A-04D1-4B55-B5CB-1B4283454021}"/>
    <hyperlink ref="B53" location="'TR22-29'!A1" display="TR23" xr:uid="{FF48AAC9-F306-4764-AB02-7B3097148C29}"/>
    <hyperlink ref="B54" location="'TR22-29'!A1" display="TR24" xr:uid="{5CAC3D52-BE95-4E44-A924-772BA082E15B}"/>
    <hyperlink ref="B56" location="'TR22-29'!A1" display="TR26" xr:uid="{B6ED3313-2B7F-4928-9DE4-C92849B73986}"/>
    <hyperlink ref="B57" location="'TR22-29'!A1" display="TR27" xr:uid="{6AF59336-449D-42A3-89FB-4E9E58F95B30}"/>
    <hyperlink ref="B58" location="'TR22-29'!A1" display="TR28" xr:uid="{5AF846E2-0C16-46EA-AD29-06725D687608}"/>
    <hyperlink ref="B59" location="'TR22-29'!A1" display="TR29" xr:uid="{637DC1B7-D829-46EA-863E-B11FB79B8612}"/>
    <hyperlink ref="B60" location="'TR22-30'!A1" display="TR30" xr:uid="{23A081FD-A26A-4411-B7DE-436D969DBDDA}"/>
    <hyperlink ref="B62" location="'TR31-34'!A1" display="TR31" xr:uid="{A9165932-04DB-427E-941E-271A06D52E5F}"/>
    <hyperlink ref="B63" location="'TR31-34'!A1" display="TR32" xr:uid="{8B06909A-B1F1-49AB-A228-BD6F84722570}"/>
    <hyperlink ref="B64" location="'TR31-34'!A1" display="TR33" xr:uid="{CAE8EF7E-467C-4BBA-AD08-C8B11A9FD9EA}"/>
    <hyperlink ref="B65" location="'TR31-34'!A1" display="TR34" xr:uid="{AC4B270A-F394-435B-A1B2-B9BA2FB77CB4}"/>
    <hyperlink ref="B66" location="'TR31-34'!A1" display="TR35" xr:uid="{EF6320F8-AC13-4E49-B0A6-447425144AF9}"/>
    <hyperlink ref="B68" location="'TR36-37'!A1" display="TR36" xr:uid="{1D2A014A-B236-4A9E-8C32-B77309EF452E}"/>
    <hyperlink ref="B69" location="'TR36-37'!A1" display="TR37" xr:uid="{16312DF5-10CB-4EC9-93CA-3A63381C9EC7}"/>
    <hyperlink ref="B71" location="'TR38-43'!A1" display="TR38" xr:uid="{4EA3D651-FE5C-4D0B-AF29-1326CC5F698E}"/>
    <hyperlink ref="B72" location="'TR38-43'!A1" display="TR39" xr:uid="{35092957-7140-4FF2-BAA2-E039475A52DA}"/>
    <hyperlink ref="B73" location="'TR38-43'!A1" display="TR40" xr:uid="{758B7F36-4DCF-41FC-8768-FD846932DDC2}"/>
    <hyperlink ref="B74" location="'TR38-43'!A1" display="TR41" xr:uid="{39DB8009-EE69-48D6-BEC9-4F5BE314A479}"/>
    <hyperlink ref="B75" location="'TR38-43'!A1" display="TR42" xr:uid="{82114FC6-956D-4821-B36A-E3F0B1E856FA}"/>
    <hyperlink ref="B76" location="'TR38-43'!A1" display="TR43" xr:uid="{45DB6F0A-59F9-4C3E-8B7E-9B7FC7382E56}"/>
    <hyperlink ref="B80" location="'TR46'!A1" display="TR46" xr:uid="{41852DB3-FD13-424B-ADC6-599F1977F7A6}"/>
    <hyperlink ref="B78" location="'TR36,37,44'!A1" display="TR44" xr:uid="{C0929C6A-9564-4039-9686-ED884DCC9A0A}"/>
    <hyperlink ref="B79" location="'TR45'!A1" display="TR45" xr:uid="{341FDC33-7003-4720-AFFA-2DD90DA75ABD}"/>
    <hyperlink ref="B7" location="'HO5-7'!A1" display="HO5" xr:uid="{937CB9C8-46F6-4C92-9D7F-361F455403B7}"/>
    <hyperlink ref="B8" location="'HO5-7'!A1" display="HO6" xr:uid="{0C6034B7-B7F9-4989-AC4C-2611410C798A}"/>
    <hyperlink ref="B9" location="'HO5-7'!A1" display="HO7" xr:uid="{A43CD11B-9BA1-40D5-A5DE-BE472F91DB90}"/>
    <hyperlink ref="B14" location="'HO12'!A1" display="HO12" xr:uid="{B68CCC33-FAED-4DFE-8D03-E6AD0EF545A5}"/>
    <hyperlink ref="B10" location="'HO3,8'!A1" display="HO8" xr:uid="{A076B82D-0EDA-4C03-95C6-191EBEC0FFE6}"/>
    <hyperlink ref="B12" location="'HO10,13'!A1" display="HO10" xr:uid="{E03C1FE6-F41E-42D2-81CE-DA63A6334E1A}"/>
    <hyperlink ref="B15" location="'HO10,13'!A1" display="HO13" xr:uid="{42320F0C-A6E4-4050-A7AE-B46CB5D95CD1}"/>
    <hyperlink ref="B17" location="'SM1'!A1" display="SM1" xr:uid="{33517FFA-117D-4AE7-92CD-F18A036C95FE}"/>
    <hyperlink ref="E18" r:id="rId1" location=":~:text=Utilitas%20on%20v%C3%A4hendanud%20fossiilsete%20k%C3%BCtuste%20kasutamist%20oma%20kaugk%C3%BCttes%C3%BCsteemides,kaasnevad%20kasvuhoonegaaside%20heitmed%20nulli%20ning%20kohaneda%20kliimamuutuste%20m%C3%B5judega." xr:uid="{5D51E351-B849-45EB-97F4-4EDB3DFF1481}"/>
    <hyperlink ref="B83" location="'MA1-4'!A1" display="MA1" xr:uid="{66AC767E-724F-44CC-875F-ED021496065C}"/>
    <hyperlink ref="B84" location="'MA1-4'!A1" display="MA2" xr:uid="{6AACF010-6B9B-44B5-839E-B403AEE514DE}"/>
    <hyperlink ref="B85" location="'MA1-4'!A1" display="MA3" xr:uid="{647A1CC8-1193-4895-AD80-9764BCFCE3BE}"/>
    <hyperlink ref="B86" location="'MA1-4'!A1" display="MA4" xr:uid="{74CE83D4-ACD8-4186-A1F3-50124623A331}"/>
    <hyperlink ref="B87" location="'MA1-4'!A1" display="MA5" xr:uid="{0E6333D9-9D47-43D0-9115-7DAA1127FD41}"/>
    <hyperlink ref="B18" location="'SM2'!A1" display="SM2" xr:uid="{8CBA2644-8CE6-47DC-8A7D-CCB7C6A2B506}"/>
    <hyperlink ref="B19" location="'SM3'!A1" display="SM3" xr:uid="{CB7FDD18-5879-4DBF-B1BF-134EB344C188}"/>
    <hyperlink ref="B90" location="'RL2'!A1" display="RL2" xr:uid="{B33E7E15-033D-466A-A738-215CBD8CF6D5}"/>
    <hyperlink ref="B98" location="'CCU1'!A1" display="CCU1" xr:uid="{A5242609-420A-48E5-A8A8-5AD87B48BD7B}"/>
    <hyperlink ref="B89" location="'RL2'!A1" display="RL1" xr:uid="{0DE017AF-98AD-4054-BB64-770E3C4BC149}"/>
    <hyperlink ref="B23" location="'EL2'!A1" display="EL2" xr:uid="{CF621A72-8CF8-409F-9778-EFC2B597957F}"/>
  </hyperlinks>
  <pageMargins left="0.7" right="0.7" top="0.75" bottom="0.75" header="0.3" footer="0.3"/>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E951C-3699-486B-A9D1-725F6A43604A}">
  <sheetPr>
    <tabColor theme="3" tint="0.89999084444715716"/>
  </sheetPr>
  <dimension ref="A1:AW63"/>
  <sheetViews>
    <sheetView showGridLines="0" zoomScaleNormal="100" workbookViewId="0">
      <selection activeCell="C18" sqref="C18"/>
    </sheetView>
  </sheetViews>
  <sheetFormatPr defaultColWidth="8.85546875" defaultRowHeight="15" outlineLevelRow="1" x14ac:dyDescent="0.25"/>
  <cols>
    <col min="1" max="1" width="2.28515625" customWidth="1"/>
    <col min="2" max="2" width="49.5703125" customWidth="1"/>
    <col min="3" max="3" width="14.42578125" customWidth="1"/>
    <col min="4" max="4" width="14.28515625" customWidth="1"/>
    <col min="5" max="5" width="12.140625" customWidth="1"/>
    <col min="6" max="6" width="11.85546875" customWidth="1"/>
    <col min="7" max="7" width="11.28515625" customWidth="1"/>
    <col min="8" max="8" width="9.7109375" customWidth="1"/>
    <col min="9" max="9" width="13.28515625"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5.25" customHeight="1" x14ac:dyDescent="0.25">
      <c r="A3" s="260" t="s">
        <v>62</v>
      </c>
      <c r="B3" s="988" t="str">
        <f>"MEEDE: "&amp;VLOOKUP(A3,MEETMED!B:G,2,FALSE)</f>
        <v>MEEDE: Kaugkütte- ja kaugjahutuse arendamine</v>
      </c>
      <c r="C3" s="988"/>
      <c r="D3" s="988"/>
      <c r="E3" s="990" t="str">
        <f>"TEGEVUS: "&amp;VLOOKUP(A3,MEETMED!B:G,3,FALSE)</f>
        <v>TEGEVUS: Kaugküttevõrkude laiendamine - piirkondadesse, kus on võimalik.</v>
      </c>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33"/>
    </row>
    <row r="7" spans="1:27" s="1" customFormat="1" outlineLevel="1" x14ac:dyDescent="0.25">
      <c r="B7" s="671" t="s">
        <v>862</v>
      </c>
      <c r="C7" s="901">
        <v>2027</v>
      </c>
      <c r="D7" s="155" t="s">
        <v>863</v>
      </c>
      <c r="E7" s="155"/>
      <c r="F7" s="155"/>
      <c r="G7" s="155"/>
      <c r="H7" s="155"/>
      <c r="I7" s="155"/>
      <c r="J7" s="155"/>
      <c r="K7" s="155"/>
      <c r="L7" s="155"/>
    </row>
    <row r="8" spans="1:27" s="1" customFormat="1" outlineLevel="1" x14ac:dyDescent="0.25">
      <c r="B8" s="671" t="s">
        <v>864</v>
      </c>
      <c r="C8" s="901">
        <v>2050</v>
      </c>
      <c r="D8" s="155" t="s">
        <v>863</v>
      </c>
      <c r="E8" s="155"/>
      <c r="F8" s="155"/>
      <c r="G8" s="155"/>
      <c r="H8" s="155"/>
      <c r="I8" s="155"/>
      <c r="J8" s="155"/>
      <c r="K8" s="155"/>
      <c r="L8" s="155"/>
    </row>
    <row r="9" spans="1:27" s="1" customFormat="1" outlineLevel="1" x14ac:dyDescent="0.25">
      <c r="B9" s="671" t="s">
        <v>865</v>
      </c>
      <c r="C9" s="229">
        <f>C8-C7+1</f>
        <v>24</v>
      </c>
      <c r="D9" s="155" t="s">
        <v>863</v>
      </c>
      <c r="F9" s="155"/>
      <c r="G9" s="155"/>
      <c r="H9" s="155"/>
      <c r="I9" s="155"/>
      <c r="J9" s="155"/>
      <c r="K9" s="155"/>
      <c r="L9" s="155"/>
    </row>
    <row r="10" spans="1:27" s="1" customFormat="1" outlineLevel="1" x14ac:dyDescent="0.25">
      <c r="D10" s="33"/>
      <c r="E10" s="338"/>
      <c r="F10" s="338"/>
    </row>
    <row r="11" spans="1:27" s="1" customFormat="1" ht="45.6" customHeight="1" outlineLevel="1" x14ac:dyDescent="0.25">
      <c r="B11" s="770" t="s">
        <v>1074</v>
      </c>
      <c r="C11" s="743" t="s">
        <v>1075</v>
      </c>
      <c r="D11" s="743" t="s">
        <v>537</v>
      </c>
      <c r="E11" s="743" t="s">
        <v>1076</v>
      </c>
      <c r="F11" s="743" t="s">
        <v>1077</v>
      </c>
      <c r="I11" s="277" t="s">
        <v>876</v>
      </c>
    </row>
    <row r="12" spans="1:27" s="1" customFormat="1" outlineLevel="1" x14ac:dyDescent="0.25">
      <c r="B12" s="671" t="s">
        <v>1078</v>
      </c>
      <c r="C12" s="734">
        <f>SISENDID!K62</f>
        <v>15970724.500000002</v>
      </c>
      <c r="D12" s="786">
        <f>SISENDID!K64</f>
        <v>0.58314714610056251</v>
      </c>
      <c r="E12" s="915">
        <v>0.8</v>
      </c>
      <c r="F12" s="898">
        <v>0.6</v>
      </c>
      <c r="I12" s="893" t="s">
        <v>1670</v>
      </c>
      <c r="J12" s="305" t="s">
        <v>877</v>
      </c>
      <c r="N12" s="305" t="s">
        <v>1079</v>
      </c>
    </row>
    <row r="13" spans="1:27" s="1" customFormat="1" outlineLevel="1" x14ac:dyDescent="0.25">
      <c r="B13" s="671" t="s">
        <v>1080</v>
      </c>
      <c r="C13" s="734">
        <f>SISENDID!K59</f>
        <v>2675254.6</v>
      </c>
      <c r="D13" s="786">
        <f>SISENDID!K60</f>
        <v>0.2</v>
      </c>
      <c r="E13" s="915">
        <v>0.3</v>
      </c>
      <c r="F13" s="898">
        <v>0.6</v>
      </c>
      <c r="I13" s="892" t="s">
        <v>878</v>
      </c>
      <c r="J13" s="305" t="s">
        <v>1669</v>
      </c>
      <c r="N13" s="305" t="s">
        <v>1081</v>
      </c>
    </row>
    <row r="14" spans="1:27" s="1" customFormat="1" outlineLevel="1" x14ac:dyDescent="0.25">
      <c r="B14" s="671" t="s">
        <v>1082</v>
      </c>
      <c r="C14" s="734">
        <f>SISENDID!K42</f>
        <v>12824914.300000001</v>
      </c>
      <c r="D14" s="786">
        <f>SISENDID!K43</f>
        <v>0.30045684853686183</v>
      </c>
      <c r="E14" s="915">
        <v>0.5</v>
      </c>
      <c r="F14" s="898">
        <v>0.4</v>
      </c>
      <c r="G14" s="229"/>
      <c r="H14" s="229"/>
      <c r="I14" s="892" t="s">
        <v>1671</v>
      </c>
      <c r="J14" s="228">
        <v>1234</v>
      </c>
      <c r="K14" s="229"/>
      <c r="L14" s="229"/>
      <c r="N14" s="305" t="s">
        <v>1083</v>
      </c>
    </row>
    <row r="15" spans="1:27" s="1" customFormat="1" outlineLevel="1" x14ac:dyDescent="0.25">
      <c r="B15" s="155"/>
      <c r="C15" s="231"/>
      <c r="D15" s="155"/>
      <c r="E15" s="155"/>
      <c r="F15" s="155"/>
      <c r="G15" s="155"/>
      <c r="H15" s="155"/>
    </row>
    <row r="16" spans="1:27" s="1" customFormat="1" outlineLevel="1" x14ac:dyDescent="0.25">
      <c r="B16" s="155" t="s">
        <v>1084</v>
      </c>
      <c r="C16" s="920">
        <v>120</v>
      </c>
      <c r="D16" s="155" t="s">
        <v>1085</v>
      </c>
      <c r="E16" s="155"/>
      <c r="F16" s="155"/>
    </row>
    <row r="17" spans="1:34" s="1" customFormat="1" outlineLevel="1" x14ac:dyDescent="0.25">
      <c r="B17" s="155" t="s">
        <v>1086</v>
      </c>
      <c r="C17" s="920">
        <f>1000/100</f>
        <v>10</v>
      </c>
      <c r="D17" s="155" t="s">
        <v>641</v>
      </c>
      <c r="E17" s="339" t="s">
        <v>1087</v>
      </c>
      <c r="F17" s="155"/>
    </row>
    <row r="18" spans="1:34" s="1" customFormat="1" outlineLevel="1" x14ac:dyDescent="0.25">
      <c r="B18" s="155" t="s">
        <v>1088</v>
      </c>
      <c r="C18" s="916">
        <v>0.5</v>
      </c>
      <c r="D18" s="155"/>
      <c r="E18" s="343" t="s">
        <v>1089</v>
      </c>
      <c r="F18" s="155"/>
    </row>
    <row r="19" spans="1:34" s="1" customFormat="1" outlineLevel="1" x14ac:dyDescent="0.25">
      <c r="B19" s="155" t="s">
        <v>1090</v>
      </c>
      <c r="C19" s="916">
        <v>0.02</v>
      </c>
      <c r="D19" s="155" t="s">
        <v>1091</v>
      </c>
      <c r="E19" s="339" t="s">
        <v>1092</v>
      </c>
      <c r="F19" s="155"/>
    </row>
    <row r="20" spans="1:34" s="1" customFormat="1" x14ac:dyDescent="0.25">
      <c r="B20" s="232"/>
      <c r="C20" s="232"/>
      <c r="D20" s="228"/>
      <c r="E20" s="228"/>
    </row>
    <row r="21" spans="1:34" ht="18" customHeight="1" x14ac:dyDescent="0.25">
      <c r="A21" s="1"/>
      <c r="B21" s="659" t="s">
        <v>895</v>
      </c>
      <c r="C21" s="659"/>
      <c r="D21" s="659"/>
      <c r="E21" s="659"/>
      <c r="F21" s="659"/>
      <c r="G21" s="659"/>
      <c r="H21" s="659"/>
      <c r="I21" s="659"/>
      <c r="J21" s="659"/>
      <c r="K21" s="659"/>
      <c r="L21" s="659"/>
      <c r="M21" s="1"/>
      <c r="N21" s="1"/>
      <c r="O21" s="1"/>
      <c r="T21" s="1"/>
      <c r="U21" s="1"/>
      <c r="V21" s="1"/>
      <c r="W21" s="1"/>
      <c r="X21" s="1"/>
      <c r="Y21" s="1"/>
      <c r="Z21" s="1"/>
      <c r="AA21" s="1"/>
      <c r="AB21" s="1"/>
      <c r="AC21" s="1"/>
      <c r="AD21" s="1"/>
      <c r="AE21" s="1"/>
      <c r="AF21" s="1"/>
      <c r="AG21" s="1"/>
      <c r="AH21" s="1"/>
    </row>
    <row r="22" spans="1:34" s="1" customFormat="1" ht="9.75" customHeight="1" outlineLevel="1" x14ac:dyDescent="0.25"/>
    <row r="23" spans="1:34" s="1" customFormat="1" outlineLevel="1" x14ac:dyDescent="0.25">
      <c r="B23" s="13" t="s">
        <v>896</v>
      </c>
      <c r="D23" s="234"/>
      <c r="E23" s="284" t="s">
        <v>897</v>
      </c>
      <c r="N23" s="327"/>
    </row>
    <row r="24" spans="1:34" s="1" customFormat="1" outlineLevel="1" x14ac:dyDescent="0.25">
      <c r="B24" s="660" t="s">
        <v>898</v>
      </c>
      <c r="C24" s="665" t="s">
        <v>899</v>
      </c>
      <c r="D24" s="234"/>
      <c r="E24" s="661"/>
      <c r="F24" s="662" t="s">
        <v>900</v>
      </c>
    </row>
    <row r="25" spans="1:34" s="1" customFormat="1" ht="15" customHeight="1" outlineLevel="1" x14ac:dyDescent="0.25">
      <c r="B25" s="663" t="s">
        <v>398</v>
      </c>
      <c r="C25" s="666">
        <f>SUM(C42:AA42)/25/1000</f>
        <v>2.4111461442777782</v>
      </c>
      <c r="E25" s="663">
        <v>2030</v>
      </c>
      <c r="F25" s="670">
        <f>G50</f>
        <v>9746.7943051568</v>
      </c>
    </row>
    <row r="26" spans="1:34" s="1" customFormat="1" ht="15" customHeight="1" outlineLevel="1" x14ac:dyDescent="0.25">
      <c r="B26" s="155" t="s">
        <v>399</v>
      </c>
      <c r="C26" s="667">
        <f>SUM(C43:AA43)/25/1000</f>
        <v>1.2055730721388891</v>
      </c>
      <c r="E26" s="155">
        <v>2035</v>
      </c>
      <c r="F26" s="428">
        <f>L50</f>
        <v>25991.451480418138</v>
      </c>
    </row>
    <row r="27" spans="1:34" s="1" customFormat="1" ht="15" customHeight="1" outlineLevel="1" x14ac:dyDescent="0.25">
      <c r="B27" s="663" t="s">
        <v>400</v>
      </c>
      <c r="C27" s="666">
        <f>C25</f>
        <v>2.4111461442777782</v>
      </c>
      <c r="D27" s="261"/>
      <c r="E27" s="663">
        <v>2040</v>
      </c>
      <c r="F27" s="670">
        <f>Q50</f>
        <v>42236.108655679483</v>
      </c>
    </row>
    <row r="28" spans="1:34" s="1" customFormat="1" ht="15" customHeight="1" outlineLevel="1" x14ac:dyDescent="0.25">
      <c r="B28" s="155" t="s">
        <v>401</v>
      </c>
      <c r="C28" s="667">
        <f>C26</f>
        <v>1.2055730721388891</v>
      </c>
      <c r="D28" s="261"/>
      <c r="E28" s="155">
        <v>2045</v>
      </c>
      <c r="F28" s="428">
        <f>V50</f>
        <v>58480.765830940807</v>
      </c>
    </row>
    <row r="29" spans="1:34" s="1" customFormat="1" outlineLevel="1" x14ac:dyDescent="0.25">
      <c r="B29" s="663" t="s">
        <v>901</v>
      </c>
      <c r="C29" s="670">
        <f>MAX(C50:AQ50)</f>
        <v>74725.423006202123</v>
      </c>
      <c r="D29" s="261"/>
      <c r="E29" s="663">
        <v>2050</v>
      </c>
      <c r="F29" s="670">
        <f>AA50</f>
        <v>74725.423006202123</v>
      </c>
    </row>
    <row r="30" spans="1:34" s="1" customFormat="1" ht="15" customHeight="1" outlineLevel="1" x14ac:dyDescent="0.25">
      <c r="B30" s="155" t="s">
        <v>902</v>
      </c>
      <c r="C30" s="428" t="s">
        <v>949</v>
      </c>
      <c r="D30" s="261"/>
    </row>
    <row r="31" spans="1:34" s="1" customFormat="1" ht="15" customHeight="1" outlineLevel="1" x14ac:dyDescent="0.25">
      <c r="B31" s="663" t="s">
        <v>403</v>
      </c>
      <c r="C31" s="670">
        <f>SUM(C42:AU42)*1000/SUM(C50:AU50)</f>
        <v>25.228203120193697</v>
      </c>
      <c r="D31" s="261"/>
      <c r="E31" s="228"/>
    </row>
    <row r="32" spans="1:34" s="1" customFormat="1" outlineLevel="1" x14ac:dyDescent="0.25">
      <c r="B32" s="13"/>
      <c r="C32" s="236"/>
      <c r="D32" s="234"/>
      <c r="E32" s="228"/>
    </row>
    <row r="33" spans="1:49" s="1" customFormat="1" outlineLevel="1" x14ac:dyDescent="0.25">
      <c r="B33" s="284" t="s">
        <v>903</v>
      </c>
      <c r="D33" s="43"/>
      <c r="E33" s="7"/>
      <c r="I33" s="277" t="s">
        <v>876</v>
      </c>
    </row>
    <row r="34" spans="1:49" s="1" customFormat="1" outlineLevel="1" x14ac:dyDescent="0.25">
      <c r="A34" s="33"/>
      <c r="B34" s="155" t="s">
        <v>904</v>
      </c>
      <c r="C34" s="307" t="s">
        <v>905</v>
      </c>
      <c r="D34" s="12"/>
      <c r="E34" s="12"/>
      <c r="F34" s="12"/>
      <c r="G34" s="12"/>
      <c r="H34" s="12"/>
      <c r="I34" s="311" t="s">
        <v>474</v>
      </c>
      <c r="J34" s="295" t="s">
        <v>906</v>
      </c>
    </row>
    <row r="35" spans="1:49" s="1" customFormat="1" ht="16.5" customHeight="1" outlineLevel="1" x14ac:dyDescent="0.25">
      <c r="A35" s="33">
        <v>1</v>
      </c>
      <c r="B35" s="155" t="s">
        <v>907</v>
      </c>
      <c r="C35" s="307" t="s">
        <v>474</v>
      </c>
      <c r="D35" s="397">
        <f>IF(C35="Kõrge",3,IF(C35="Mõõdukas",2,1))</f>
        <v>3</v>
      </c>
      <c r="E35" s="12"/>
      <c r="F35" s="12"/>
      <c r="G35" s="12"/>
      <c r="H35" s="12"/>
      <c r="I35" s="312" t="s">
        <v>905</v>
      </c>
      <c r="J35" s="295" t="s">
        <v>908</v>
      </c>
      <c r="K35" s="273" t="s">
        <v>1093</v>
      </c>
    </row>
    <row r="36" spans="1:49" s="1" customFormat="1" ht="16.5" customHeight="1" outlineLevel="1" x14ac:dyDescent="0.25">
      <c r="A36" s="33"/>
      <c r="B36" s="155" t="s">
        <v>909</v>
      </c>
      <c r="C36" s="307" t="s">
        <v>910</v>
      </c>
      <c r="D36" s="397">
        <f>IF(C36="Kõrge",3,IF(C36="Mõõdukas",2,1))</f>
        <v>1</v>
      </c>
      <c r="E36" s="12"/>
      <c r="F36" s="12"/>
      <c r="I36" s="313" t="s">
        <v>910</v>
      </c>
      <c r="J36" s="295" t="s">
        <v>911</v>
      </c>
      <c r="K36" s="273" t="s">
        <v>1094</v>
      </c>
    </row>
    <row r="37" spans="1:49" s="1" customFormat="1" x14ac:dyDescent="0.25">
      <c r="B37" s="13"/>
      <c r="C37" s="399" t="s">
        <v>912</v>
      </c>
      <c r="D37" s="398">
        <f>D36+D35</f>
        <v>4</v>
      </c>
    </row>
    <row r="38" spans="1:49" x14ac:dyDescent="0.25">
      <c r="A38" s="1"/>
      <c r="B38" s="659" t="s">
        <v>913</v>
      </c>
      <c r="C38" s="659"/>
      <c r="D38" s="659"/>
      <c r="E38" s="659"/>
      <c r="F38" s="659"/>
      <c r="G38" s="659"/>
      <c r="H38" s="659"/>
      <c r="I38" s="659"/>
      <c r="J38" s="659"/>
      <c r="K38" s="659"/>
      <c r="L38" s="659"/>
      <c r="M38" s="659"/>
      <c r="N38" s="659"/>
      <c r="O38" s="659"/>
      <c r="P38" s="659"/>
      <c r="Q38" s="659"/>
      <c r="R38" s="659"/>
      <c r="S38" s="659"/>
      <c r="T38" s="659"/>
      <c r="U38" s="659"/>
      <c r="V38" s="659"/>
      <c r="W38" s="659"/>
      <c r="X38" s="659"/>
      <c r="Y38" s="659"/>
      <c r="Z38" s="659"/>
      <c r="AA38" s="659"/>
      <c r="AB38" s="659"/>
      <c r="AC38" s="659"/>
      <c r="AD38" s="659"/>
      <c r="AE38" s="659"/>
      <c r="AF38" s="659"/>
      <c r="AG38" s="659"/>
      <c r="AH38" s="659"/>
      <c r="AI38" s="659"/>
      <c r="AJ38" s="659"/>
      <c r="AK38" s="659"/>
      <c r="AL38" s="659"/>
      <c r="AM38" s="659"/>
      <c r="AN38" s="659"/>
      <c r="AO38" s="659"/>
      <c r="AP38" s="659"/>
      <c r="AQ38" s="659"/>
      <c r="AR38" s="659"/>
      <c r="AS38" s="659"/>
      <c r="AT38" s="659"/>
      <c r="AU38" s="659"/>
    </row>
    <row r="39" spans="1:49" s="15" customFormat="1" ht="7.5" customHeight="1" outlineLevel="1" x14ac:dyDescent="0.25"/>
    <row r="40" spans="1:49" s="15" customFormat="1" ht="13.5" outlineLevel="1" x14ac:dyDescent="0.25">
      <c r="B40" s="715" t="s">
        <v>914</v>
      </c>
      <c r="C40" s="432">
        <v>2026</v>
      </c>
      <c r="D40" s="432">
        <f>C40+1</f>
        <v>2027</v>
      </c>
      <c r="E40" s="432">
        <f t="shared" ref="E40:AU40" si="0">D40+1</f>
        <v>2028</v>
      </c>
      <c r="F40" s="432">
        <f t="shared" si="0"/>
        <v>2029</v>
      </c>
      <c r="G40" s="432">
        <f t="shared" si="0"/>
        <v>2030</v>
      </c>
      <c r="H40" s="432">
        <f t="shared" si="0"/>
        <v>2031</v>
      </c>
      <c r="I40" s="432">
        <f t="shared" si="0"/>
        <v>2032</v>
      </c>
      <c r="J40" s="432">
        <f t="shared" si="0"/>
        <v>2033</v>
      </c>
      <c r="K40" s="432">
        <f t="shared" si="0"/>
        <v>2034</v>
      </c>
      <c r="L40" s="432">
        <f t="shared" si="0"/>
        <v>2035</v>
      </c>
      <c r="M40" s="432">
        <f t="shared" si="0"/>
        <v>2036</v>
      </c>
      <c r="N40" s="432">
        <f t="shared" si="0"/>
        <v>2037</v>
      </c>
      <c r="O40" s="432">
        <f t="shared" si="0"/>
        <v>2038</v>
      </c>
      <c r="P40" s="432">
        <f t="shared" si="0"/>
        <v>2039</v>
      </c>
      <c r="Q40" s="432">
        <f t="shared" si="0"/>
        <v>2040</v>
      </c>
      <c r="R40" s="432">
        <f t="shared" si="0"/>
        <v>2041</v>
      </c>
      <c r="S40" s="432">
        <f t="shared" si="0"/>
        <v>2042</v>
      </c>
      <c r="T40" s="432">
        <f t="shared" si="0"/>
        <v>2043</v>
      </c>
      <c r="U40" s="432">
        <f t="shared" si="0"/>
        <v>2044</v>
      </c>
      <c r="V40" s="432">
        <f t="shared" si="0"/>
        <v>2045</v>
      </c>
      <c r="W40" s="432">
        <f t="shared" si="0"/>
        <v>2046</v>
      </c>
      <c r="X40" s="432">
        <f t="shared" si="0"/>
        <v>2047</v>
      </c>
      <c r="Y40" s="432">
        <f t="shared" si="0"/>
        <v>2048</v>
      </c>
      <c r="Z40" s="432">
        <f t="shared" si="0"/>
        <v>2049</v>
      </c>
      <c r="AA40" s="432">
        <f t="shared" si="0"/>
        <v>2050</v>
      </c>
      <c r="AB40" s="432">
        <f t="shared" si="0"/>
        <v>2051</v>
      </c>
      <c r="AC40" s="432">
        <f t="shared" si="0"/>
        <v>2052</v>
      </c>
      <c r="AD40" s="432">
        <f t="shared" si="0"/>
        <v>2053</v>
      </c>
      <c r="AE40" s="432">
        <f t="shared" si="0"/>
        <v>2054</v>
      </c>
      <c r="AF40" s="432">
        <f t="shared" si="0"/>
        <v>2055</v>
      </c>
      <c r="AG40" s="432">
        <f t="shared" si="0"/>
        <v>2056</v>
      </c>
      <c r="AH40" s="432">
        <f t="shared" si="0"/>
        <v>2057</v>
      </c>
      <c r="AI40" s="432">
        <f t="shared" si="0"/>
        <v>2058</v>
      </c>
      <c r="AJ40" s="432">
        <f t="shared" si="0"/>
        <v>2059</v>
      </c>
      <c r="AK40" s="432">
        <f t="shared" si="0"/>
        <v>2060</v>
      </c>
      <c r="AL40" s="432">
        <f t="shared" si="0"/>
        <v>2061</v>
      </c>
      <c r="AM40" s="432">
        <f t="shared" si="0"/>
        <v>2062</v>
      </c>
      <c r="AN40" s="432">
        <f t="shared" si="0"/>
        <v>2063</v>
      </c>
      <c r="AO40" s="432">
        <f t="shared" si="0"/>
        <v>2064</v>
      </c>
      <c r="AP40" s="432">
        <f t="shared" si="0"/>
        <v>2065</v>
      </c>
      <c r="AQ40" s="432">
        <f t="shared" si="0"/>
        <v>2066</v>
      </c>
      <c r="AR40" s="432">
        <f t="shared" si="0"/>
        <v>2067</v>
      </c>
      <c r="AS40" s="432">
        <f t="shared" si="0"/>
        <v>2068</v>
      </c>
      <c r="AT40" s="432">
        <f t="shared" si="0"/>
        <v>2069</v>
      </c>
      <c r="AU40" s="716">
        <f t="shared" si="0"/>
        <v>2070</v>
      </c>
      <c r="AV40" s="39"/>
      <c r="AW40" s="39"/>
    </row>
    <row r="41" spans="1:49" s="15" customFormat="1" ht="13.5" outlineLevel="1" x14ac:dyDescent="0.25">
      <c r="B41" s="723" t="s">
        <v>1037</v>
      </c>
      <c r="C41" s="724">
        <f t="shared" ref="C41:AU41" si="1">IF(OR(C40&lt;C7,C40&gt;$C$8),0,1)</f>
        <v>0</v>
      </c>
      <c r="D41" s="724">
        <f t="shared" si="1"/>
        <v>0</v>
      </c>
      <c r="E41" s="724">
        <f t="shared" si="1"/>
        <v>1</v>
      </c>
      <c r="F41" s="724">
        <f t="shared" si="1"/>
        <v>1</v>
      </c>
      <c r="G41" s="724">
        <f t="shared" si="1"/>
        <v>1</v>
      </c>
      <c r="H41" s="724">
        <f t="shared" si="1"/>
        <v>1</v>
      </c>
      <c r="I41" s="724">
        <f t="shared" si="1"/>
        <v>1</v>
      </c>
      <c r="J41" s="724">
        <f t="shared" si="1"/>
        <v>1</v>
      </c>
      <c r="K41" s="724">
        <f t="shared" si="1"/>
        <v>1</v>
      </c>
      <c r="L41" s="724">
        <f t="shared" si="1"/>
        <v>1</v>
      </c>
      <c r="M41" s="724">
        <f t="shared" si="1"/>
        <v>1</v>
      </c>
      <c r="N41" s="724">
        <f t="shared" si="1"/>
        <v>1</v>
      </c>
      <c r="O41" s="724">
        <f t="shared" si="1"/>
        <v>1</v>
      </c>
      <c r="P41" s="724">
        <f t="shared" si="1"/>
        <v>1</v>
      </c>
      <c r="Q41" s="724">
        <f t="shared" si="1"/>
        <v>1</v>
      </c>
      <c r="R41" s="724">
        <f t="shared" si="1"/>
        <v>1</v>
      </c>
      <c r="S41" s="724">
        <f t="shared" si="1"/>
        <v>1</v>
      </c>
      <c r="T41" s="724">
        <f t="shared" si="1"/>
        <v>1</v>
      </c>
      <c r="U41" s="724">
        <f t="shared" si="1"/>
        <v>1</v>
      </c>
      <c r="V41" s="724">
        <f t="shared" si="1"/>
        <v>1</v>
      </c>
      <c r="W41" s="724">
        <f t="shared" si="1"/>
        <v>1</v>
      </c>
      <c r="X41" s="724">
        <f t="shared" si="1"/>
        <v>1</v>
      </c>
      <c r="Y41" s="724">
        <f t="shared" si="1"/>
        <v>1</v>
      </c>
      <c r="Z41" s="724">
        <f t="shared" si="1"/>
        <v>1</v>
      </c>
      <c r="AA41" s="724">
        <f t="shared" si="1"/>
        <v>1</v>
      </c>
      <c r="AB41" s="724">
        <f t="shared" si="1"/>
        <v>0</v>
      </c>
      <c r="AC41" s="724">
        <f t="shared" si="1"/>
        <v>0</v>
      </c>
      <c r="AD41" s="724">
        <f t="shared" si="1"/>
        <v>0</v>
      </c>
      <c r="AE41" s="724">
        <f t="shared" si="1"/>
        <v>0</v>
      </c>
      <c r="AF41" s="724">
        <f t="shared" si="1"/>
        <v>0</v>
      </c>
      <c r="AG41" s="724">
        <f t="shared" si="1"/>
        <v>0</v>
      </c>
      <c r="AH41" s="724">
        <f t="shared" si="1"/>
        <v>0</v>
      </c>
      <c r="AI41" s="724">
        <f t="shared" si="1"/>
        <v>0</v>
      </c>
      <c r="AJ41" s="724">
        <f t="shared" si="1"/>
        <v>0</v>
      </c>
      <c r="AK41" s="724">
        <f t="shared" si="1"/>
        <v>0</v>
      </c>
      <c r="AL41" s="724">
        <f t="shared" si="1"/>
        <v>0</v>
      </c>
      <c r="AM41" s="724">
        <f t="shared" si="1"/>
        <v>0</v>
      </c>
      <c r="AN41" s="724">
        <f t="shared" si="1"/>
        <v>0</v>
      </c>
      <c r="AO41" s="724">
        <f t="shared" si="1"/>
        <v>0</v>
      </c>
      <c r="AP41" s="724">
        <f t="shared" si="1"/>
        <v>0</v>
      </c>
      <c r="AQ41" s="724">
        <f t="shared" si="1"/>
        <v>0</v>
      </c>
      <c r="AR41" s="724">
        <f t="shared" si="1"/>
        <v>0</v>
      </c>
      <c r="AS41" s="724">
        <f t="shared" si="1"/>
        <v>0</v>
      </c>
      <c r="AT41" s="724">
        <f t="shared" si="1"/>
        <v>0</v>
      </c>
      <c r="AU41" s="725">
        <f t="shared" si="1"/>
        <v>0</v>
      </c>
    </row>
    <row r="42" spans="1:49" s="15" customFormat="1" ht="13.5" outlineLevel="1" x14ac:dyDescent="0.25">
      <c r="B42" s="715" t="s">
        <v>1095</v>
      </c>
      <c r="C42" s="720">
        <f>(($E$12-$D$12)*$C$12+($E$13-$D$13)*$C$13+($E$14-$D$14)*$C$14)/$C$9*$C$17/1000*C41</f>
        <v>0</v>
      </c>
      <c r="D42" s="720">
        <f t="shared" ref="D42:K42" si="2">(($E$12-$D$12)*$C$12+($E$13-$D$13)*$C$13+($E$14-$D$14)*$C$14)/$C$9*$C$17/1000*D41</f>
        <v>0</v>
      </c>
      <c r="E42" s="720">
        <f t="shared" si="2"/>
        <v>2620.8110263888898</v>
      </c>
      <c r="F42" s="720">
        <f t="shared" si="2"/>
        <v>2620.8110263888898</v>
      </c>
      <c r="G42" s="720">
        <f t="shared" si="2"/>
        <v>2620.8110263888898</v>
      </c>
      <c r="H42" s="720">
        <f t="shared" si="2"/>
        <v>2620.8110263888898</v>
      </c>
      <c r="I42" s="720">
        <f t="shared" si="2"/>
        <v>2620.8110263888898</v>
      </c>
      <c r="J42" s="720">
        <f t="shared" si="2"/>
        <v>2620.8110263888898</v>
      </c>
      <c r="K42" s="720">
        <f t="shared" si="2"/>
        <v>2620.8110263888898</v>
      </c>
      <c r="L42" s="720">
        <f t="shared" ref="L42" si="3">(($E$12-$D$12)*$C$12+($E$13-$D$13)*$C$13+($E$14-$D$14)*$C$14)/$C$9*$C$17/1000*L41</f>
        <v>2620.8110263888898</v>
      </c>
      <c r="M42" s="720">
        <f t="shared" ref="M42" si="4">(($E$12-$D$12)*$C$12+($E$13-$D$13)*$C$13+($E$14-$D$14)*$C$14)/$C$9*$C$17/1000*M41</f>
        <v>2620.8110263888898</v>
      </c>
      <c r="N42" s="720">
        <f t="shared" ref="N42" si="5">(($E$12-$D$12)*$C$12+($E$13-$D$13)*$C$13+($E$14-$D$14)*$C$14)/$C$9*$C$17/1000*N41</f>
        <v>2620.8110263888898</v>
      </c>
      <c r="O42" s="720">
        <f t="shared" ref="O42" si="6">(($E$12-$D$12)*$C$12+($E$13-$D$13)*$C$13+($E$14-$D$14)*$C$14)/$C$9*$C$17/1000*O41</f>
        <v>2620.8110263888898</v>
      </c>
      <c r="P42" s="720">
        <f t="shared" ref="P42" si="7">(($E$12-$D$12)*$C$12+($E$13-$D$13)*$C$13+($E$14-$D$14)*$C$14)/$C$9*$C$17/1000*P41</f>
        <v>2620.8110263888898</v>
      </c>
      <c r="Q42" s="720">
        <f t="shared" ref="Q42" si="8">(($E$12-$D$12)*$C$12+($E$13-$D$13)*$C$13+($E$14-$D$14)*$C$14)/$C$9*$C$17/1000*Q41</f>
        <v>2620.8110263888898</v>
      </c>
      <c r="R42" s="720">
        <f t="shared" ref="R42:S42" si="9">(($E$12-$D$12)*$C$12+($E$13-$D$13)*$C$13+($E$14-$D$14)*$C$14)/$C$9*$C$17/1000*R41</f>
        <v>2620.8110263888898</v>
      </c>
      <c r="S42" s="720">
        <f t="shared" si="9"/>
        <v>2620.8110263888898</v>
      </c>
      <c r="T42" s="720">
        <f t="shared" ref="T42" si="10">(($E$12-$D$12)*$C$12+($E$13-$D$13)*$C$13+($E$14-$D$14)*$C$14)/$C$9*$C$17/1000*T41</f>
        <v>2620.8110263888898</v>
      </c>
      <c r="U42" s="720">
        <f t="shared" ref="U42" si="11">(($E$12-$D$12)*$C$12+($E$13-$D$13)*$C$13+($E$14-$D$14)*$C$14)/$C$9*$C$17/1000*U41</f>
        <v>2620.8110263888898</v>
      </c>
      <c r="V42" s="720">
        <f t="shared" ref="V42" si="12">(($E$12-$D$12)*$C$12+($E$13-$D$13)*$C$13+($E$14-$D$14)*$C$14)/$C$9*$C$17/1000*V41</f>
        <v>2620.8110263888898</v>
      </c>
      <c r="W42" s="720">
        <f t="shared" ref="W42" si="13">(($E$12-$D$12)*$C$12+($E$13-$D$13)*$C$13+($E$14-$D$14)*$C$14)/$C$9*$C$17/1000*W41</f>
        <v>2620.8110263888898</v>
      </c>
      <c r="X42" s="720">
        <f t="shared" ref="X42" si="14">(($E$12-$D$12)*$C$12+($E$13-$D$13)*$C$13+($E$14-$D$14)*$C$14)/$C$9*$C$17/1000*X41</f>
        <v>2620.8110263888898</v>
      </c>
      <c r="Y42" s="720">
        <f t="shared" ref="Y42" si="15">(($E$12-$D$12)*$C$12+($E$13-$D$13)*$C$13+($E$14-$D$14)*$C$14)/$C$9*$C$17/1000*Y41</f>
        <v>2620.8110263888898</v>
      </c>
      <c r="Z42" s="720">
        <f t="shared" ref="Z42:AA42" si="16">(($E$12-$D$12)*$C$12+($E$13-$D$13)*$C$13+($E$14-$D$14)*$C$14)/$C$9*$C$17/1000*Z41</f>
        <v>2620.8110263888898</v>
      </c>
      <c r="AA42" s="720">
        <f t="shared" si="16"/>
        <v>2620.8110263888898</v>
      </c>
      <c r="AB42" s="720">
        <f t="shared" ref="AB42" si="17">(($E$12-$D$12)*$C$12+($E$13-$D$13)*$C$13+($E$14-$D$14)*$C$14)/$C$9*$C$17/1000*AB41</f>
        <v>0</v>
      </c>
      <c r="AC42" s="720">
        <f t="shared" ref="AC42" si="18">(($E$12-$D$12)*$C$12+($E$13-$D$13)*$C$13+($E$14-$D$14)*$C$14)/$C$9*$C$17/1000*AC41</f>
        <v>0</v>
      </c>
      <c r="AD42" s="720">
        <f t="shared" ref="AD42" si="19">(($E$12-$D$12)*$C$12+($E$13-$D$13)*$C$13+($E$14-$D$14)*$C$14)/$C$9*$C$17/1000*AD41</f>
        <v>0</v>
      </c>
      <c r="AE42" s="720">
        <f t="shared" ref="AE42" si="20">(($E$12-$D$12)*$C$12+($E$13-$D$13)*$C$13+($E$14-$D$14)*$C$14)/$C$9*$C$17/1000*AE41</f>
        <v>0</v>
      </c>
      <c r="AF42" s="720">
        <f t="shared" ref="AF42" si="21">(($E$12-$D$12)*$C$12+($E$13-$D$13)*$C$13+($E$14-$D$14)*$C$14)/$C$9*$C$17/1000*AF41</f>
        <v>0</v>
      </c>
      <c r="AG42" s="720">
        <f t="shared" ref="AG42" si="22">(($E$12-$D$12)*$C$12+($E$13-$D$13)*$C$13+($E$14-$D$14)*$C$14)/$C$9*$C$17/1000*AG41</f>
        <v>0</v>
      </c>
      <c r="AH42" s="720">
        <f t="shared" ref="AH42:AI42" si="23">(($E$12-$D$12)*$C$12+($E$13-$D$13)*$C$13+($E$14-$D$14)*$C$14)/$C$9*$C$17/1000*AH41</f>
        <v>0</v>
      </c>
      <c r="AI42" s="720">
        <f t="shared" si="23"/>
        <v>0</v>
      </c>
      <c r="AJ42" s="720">
        <f t="shared" ref="AJ42" si="24">(($E$12-$D$12)*$C$12+($E$13-$D$13)*$C$13+($E$14-$D$14)*$C$14)/$C$9*$C$17/1000*AJ41</f>
        <v>0</v>
      </c>
      <c r="AK42" s="720">
        <f t="shared" ref="AK42" si="25">(($E$12-$D$12)*$C$12+($E$13-$D$13)*$C$13+($E$14-$D$14)*$C$14)/$C$9*$C$17/1000*AK41</f>
        <v>0</v>
      </c>
      <c r="AL42" s="720">
        <f t="shared" ref="AL42" si="26">(($E$12-$D$12)*$C$12+($E$13-$D$13)*$C$13+($E$14-$D$14)*$C$14)/$C$9*$C$17/1000*AL41</f>
        <v>0</v>
      </c>
      <c r="AM42" s="720">
        <f t="shared" ref="AM42" si="27">(($E$12-$D$12)*$C$12+($E$13-$D$13)*$C$13+($E$14-$D$14)*$C$14)/$C$9*$C$17/1000*AM41</f>
        <v>0</v>
      </c>
      <c r="AN42" s="720">
        <f t="shared" ref="AN42" si="28">(($E$12-$D$12)*$C$12+($E$13-$D$13)*$C$13+($E$14-$D$14)*$C$14)/$C$9*$C$17/1000*AN41</f>
        <v>0</v>
      </c>
      <c r="AO42" s="720">
        <f t="shared" ref="AO42" si="29">(($E$12-$D$12)*$C$12+($E$13-$D$13)*$C$13+($E$14-$D$14)*$C$14)/$C$9*$C$17/1000*AO41</f>
        <v>0</v>
      </c>
      <c r="AP42" s="720">
        <f t="shared" ref="AP42:AQ42" si="30">(($E$12-$D$12)*$C$12+($E$13-$D$13)*$C$13+($E$14-$D$14)*$C$14)/$C$9*$C$17/1000*AP41</f>
        <v>0</v>
      </c>
      <c r="AQ42" s="720">
        <f t="shared" si="30"/>
        <v>0</v>
      </c>
      <c r="AR42" s="720">
        <f t="shared" ref="AR42" si="31">(($E$12-$D$12)*$C$12+($E$13-$D$13)*$C$13+($E$14-$D$14)*$C$14)/$C$9*$C$17/1000*AR41</f>
        <v>0</v>
      </c>
      <c r="AS42" s="720">
        <f t="shared" ref="AS42" si="32">(($E$12-$D$12)*$C$12+($E$13-$D$13)*$C$13+($E$14-$D$14)*$C$14)/$C$9*$C$17/1000*AS41</f>
        <v>0</v>
      </c>
      <c r="AT42" s="720">
        <f t="shared" ref="AT42" si="33">(($E$12-$D$12)*$C$12+($E$13-$D$13)*$C$13+($E$14-$D$14)*$C$14)/$C$9*$C$17/1000*AT41</f>
        <v>0</v>
      </c>
      <c r="AU42" s="721">
        <f t="shared" ref="AU42" si="34">(($E$12-$D$12)*$C$12+($E$13-$D$13)*$C$13+($E$14-$D$14)*$C$14)/$C$9*$C$17/1000*AU41</f>
        <v>0</v>
      </c>
    </row>
    <row r="43" spans="1:49" s="15" customFormat="1" ht="13.5" outlineLevel="1" x14ac:dyDescent="0.25">
      <c r="B43" s="431" t="s">
        <v>1096</v>
      </c>
      <c r="C43" s="717">
        <f>C42*$C$18</f>
        <v>0</v>
      </c>
      <c r="D43" s="717">
        <f t="shared" ref="D43:N43" si="35">D42*$C$18</f>
        <v>0</v>
      </c>
      <c r="E43" s="717">
        <f t="shared" si="35"/>
        <v>1310.4055131944449</v>
      </c>
      <c r="F43" s="717">
        <f t="shared" si="35"/>
        <v>1310.4055131944449</v>
      </c>
      <c r="G43" s="717">
        <f t="shared" si="35"/>
        <v>1310.4055131944449</v>
      </c>
      <c r="H43" s="717">
        <f t="shared" si="35"/>
        <v>1310.4055131944449</v>
      </c>
      <c r="I43" s="717">
        <f t="shared" si="35"/>
        <v>1310.4055131944449</v>
      </c>
      <c r="J43" s="717">
        <f t="shared" si="35"/>
        <v>1310.4055131944449</v>
      </c>
      <c r="K43" s="717">
        <f t="shared" si="35"/>
        <v>1310.4055131944449</v>
      </c>
      <c r="L43" s="717">
        <f t="shared" si="35"/>
        <v>1310.4055131944449</v>
      </c>
      <c r="M43" s="717">
        <f t="shared" si="35"/>
        <v>1310.4055131944449</v>
      </c>
      <c r="N43" s="717">
        <f t="shared" si="35"/>
        <v>1310.4055131944449</v>
      </c>
      <c r="O43" s="717">
        <f t="shared" ref="O43" si="36">O42*$C$18</f>
        <v>1310.4055131944449</v>
      </c>
      <c r="P43" s="717">
        <f t="shared" ref="P43" si="37">P42*$C$18</f>
        <v>1310.4055131944449</v>
      </c>
      <c r="Q43" s="717">
        <f t="shared" ref="Q43" si="38">Q42*$C$18</f>
        <v>1310.4055131944449</v>
      </c>
      <c r="R43" s="717">
        <f t="shared" ref="R43" si="39">R42*$C$18</f>
        <v>1310.4055131944449</v>
      </c>
      <c r="S43" s="717">
        <f t="shared" ref="S43" si="40">S42*$C$18</f>
        <v>1310.4055131944449</v>
      </c>
      <c r="T43" s="717">
        <f t="shared" ref="T43" si="41">T42*$C$18</f>
        <v>1310.4055131944449</v>
      </c>
      <c r="U43" s="717">
        <f t="shared" ref="U43" si="42">U42*$C$18</f>
        <v>1310.4055131944449</v>
      </c>
      <c r="V43" s="717">
        <f t="shared" ref="V43" si="43">V42*$C$18</f>
        <v>1310.4055131944449</v>
      </c>
      <c r="W43" s="717">
        <f t="shared" ref="W43" si="44">W42*$C$18</f>
        <v>1310.4055131944449</v>
      </c>
      <c r="X43" s="717">
        <f t="shared" ref="X43" si="45">X42*$C$18</f>
        <v>1310.4055131944449</v>
      </c>
      <c r="Y43" s="717">
        <f t="shared" ref="Y43" si="46">Y42*$C$18</f>
        <v>1310.4055131944449</v>
      </c>
      <c r="Z43" s="717">
        <f t="shared" ref="Z43" si="47">Z42*$C$18</f>
        <v>1310.4055131944449</v>
      </c>
      <c r="AA43" s="717">
        <f t="shared" ref="AA43" si="48">AA42*$C$18</f>
        <v>1310.4055131944449</v>
      </c>
      <c r="AB43" s="717">
        <f t="shared" ref="AB43" si="49">AB42*$C$18</f>
        <v>0</v>
      </c>
      <c r="AC43" s="717">
        <f t="shared" ref="AC43" si="50">AC42*$C$18</f>
        <v>0</v>
      </c>
      <c r="AD43" s="717">
        <f t="shared" ref="AD43" si="51">AD42*$C$18</f>
        <v>0</v>
      </c>
      <c r="AE43" s="717">
        <f t="shared" ref="AE43" si="52">AE42*$C$18</f>
        <v>0</v>
      </c>
      <c r="AF43" s="717">
        <f t="shared" ref="AF43" si="53">AF42*$C$18</f>
        <v>0</v>
      </c>
      <c r="AG43" s="717">
        <f t="shared" ref="AG43" si="54">AG42*$C$18</f>
        <v>0</v>
      </c>
      <c r="AH43" s="717">
        <f t="shared" ref="AH43" si="55">AH42*$C$18</f>
        <v>0</v>
      </c>
      <c r="AI43" s="717">
        <f t="shared" ref="AI43" si="56">AI42*$C$18</f>
        <v>0</v>
      </c>
      <c r="AJ43" s="717">
        <f t="shared" ref="AJ43" si="57">AJ42*$C$18</f>
        <v>0</v>
      </c>
      <c r="AK43" s="717">
        <f t="shared" ref="AK43" si="58">AK42*$C$18</f>
        <v>0</v>
      </c>
      <c r="AL43" s="717">
        <f t="shared" ref="AL43" si="59">AL42*$C$18</f>
        <v>0</v>
      </c>
      <c r="AM43" s="717">
        <f t="shared" ref="AM43" si="60">AM42*$C$18</f>
        <v>0</v>
      </c>
      <c r="AN43" s="717">
        <f t="shared" ref="AN43" si="61">AN42*$C$18</f>
        <v>0</v>
      </c>
      <c r="AO43" s="717">
        <f t="shared" ref="AO43" si="62">AO42*$C$18</f>
        <v>0</v>
      </c>
      <c r="AP43" s="717">
        <f t="shared" ref="AP43" si="63">AP42*$C$18</f>
        <v>0</v>
      </c>
      <c r="AQ43" s="717">
        <f t="shared" ref="AQ43" si="64">AQ42*$C$18</f>
        <v>0</v>
      </c>
      <c r="AR43" s="717">
        <f t="shared" ref="AR43" si="65">AR42*$C$18</f>
        <v>0</v>
      </c>
      <c r="AS43" s="717">
        <f t="shared" ref="AS43" si="66">AS42*$C$18</f>
        <v>0</v>
      </c>
      <c r="AT43" s="717">
        <f t="shared" ref="AT43" si="67">AT42*$C$18</f>
        <v>0</v>
      </c>
      <c r="AU43" s="718">
        <f t="shared" ref="AU43" si="68">AU42*$C$18</f>
        <v>0</v>
      </c>
    </row>
    <row r="44" spans="1:49" s="15" customFormat="1" ht="13.5" outlineLevel="1" x14ac:dyDescent="0.25">
      <c r="B44" s="431"/>
      <c r="C44" s="717"/>
      <c r="D44" s="717"/>
      <c r="E44" s="717"/>
      <c r="F44" s="717"/>
      <c r="G44" s="717"/>
      <c r="H44" s="717"/>
      <c r="I44" s="717"/>
      <c r="J44" s="717"/>
      <c r="K44" s="717"/>
      <c r="L44" s="717"/>
      <c r="M44" s="717"/>
      <c r="N44" s="717"/>
      <c r="O44" s="717"/>
      <c r="P44" s="717"/>
      <c r="Q44" s="717"/>
      <c r="R44" s="717"/>
      <c r="S44" s="717"/>
      <c r="T44" s="717"/>
      <c r="U44" s="717"/>
      <c r="V44" s="717"/>
      <c r="W44" s="717"/>
      <c r="X44" s="717"/>
      <c r="Y44" s="717"/>
      <c r="Z44" s="717"/>
      <c r="AA44" s="717"/>
      <c r="AB44" s="717"/>
      <c r="AC44" s="717"/>
      <c r="AD44" s="717"/>
      <c r="AE44" s="717"/>
      <c r="AF44" s="717"/>
      <c r="AG44" s="717"/>
      <c r="AH44" s="717"/>
      <c r="AI44" s="717"/>
      <c r="AJ44" s="717"/>
      <c r="AK44" s="717"/>
      <c r="AL44" s="717"/>
      <c r="AM44" s="717"/>
      <c r="AN44" s="717"/>
      <c r="AO44" s="717"/>
      <c r="AP44" s="717"/>
      <c r="AQ44" s="717"/>
      <c r="AR44" s="717"/>
      <c r="AS44" s="717"/>
      <c r="AT44" s="717"/>
      <c r="AU44" s="718"/>
    </row>
    <row r="45" spans="1:49" s="15" customFormat="1" ht="13.5" outlineLevel="1" x14ac:dyDescent="0.25">
      <c r="B45" s="431" t="s">
        <v>1097</v>
      </c>
      <c r="C45" s="787">
        <f>(($E$12-$D$12)*$C$12+($E$13-$D$13)*$C$13+($E$14-$D$14)*$C$14)/$C$9*$C$16/1000000*C41</f>
        <v>0</v>
      </c>
      <c r="D45" s="787">
        <f t="shared" ref="D45:AU45" si="69">(($E$12-$D$12)*$C$12+($E$13-$D$13)*$C$13+($E$14-$D$14)*$C$14)/$C$9*$C$16/1000000*D41</f>
        <v>0</v>
      </c>
      <c r="E45" s="787">
        <f t="shared" si="69"/>
        <v>31.449732316666672</v>
      </c>
      <c r="F45" s="787">
        <f t="shared" si="69"/>
        <v>31.449732316666672</v>
      </c>
      <c r="G45" s="787">
        <f t="shared" si="69"/>
        <v>31.449732316666672</v>
      </c>
      <c r="H45" s="787">
        <f t="shared" si="69"/>
        <v>31.449732316666672</v>
      </c>
      <c r="I45" s="787">
        <f t="shared" si="69"/>
        <v>31.449732316666672</v>
      </c>
      <c r="J45" s="787">
        <f t="shared" si="69"/>
        <v>31.449732316666672</v>
      </c>
      <c r="K45" s="787">
        <f t="shared" si="69"/>
        <v>31.449732316666672</v>
      </c>
      <c r="L45" s="787">
        <f t="shared" si="69"/>
        <v>31.449732316666672</v>
      </c>
      <c r="M45" s="787">
        <f t="shared" si="69"/>
        <v>31.449732316666672</v>
      </c>
      <c r="N45" s="787">
        <f t="shared" si="69"/>
        <v>31.449732316666672</v>
      </c>
      <c r="O45" s="787">
        <f t="shared" si="69"/>
        <v>31.449732316666672</v>
      </c>
      <c r="P45" s="787">
        <f t="shared" si="69"/>
        <v>31.449732316666672</v>
      </c>
      <c r="Q45" s="787">
        <f t="shared" si="69"/>
        <v>31.449732316666672</v>
      </c>
      <c r="R45" s="787">
        <f t="shared" si="69"/>
        <v>31.449732316666672</v>
      </c>
      <c r="S45" s="787">
        <f t="shared" si="69"/>
        <v>31.449732316666672</v>
      </c>
      <c r="T45" s="787">
        <f t="shared" si="69"/>
        <v>31.449732316666672</v>
      </c>
      <c r="U45" s="787">
        <f t="shared" si="69"/>
        <v>31.449732316666672</v>
      </c>
      <c r="V45" s="787">
        <f t="shared" si="69"/>
        <v>31.449732316666672</v>
      </c>
      <c r="W45" s="787">
        <f t="shared" si="69"/>
        <v>31.449732316666672</v>
      </c>
      <c r="X45" s="787">
        <f t="shared" si="69"/>
        <v>31.449732316666672</v>
      </c>
      <c r="Y45" s="787">
        <f t="shared" si="69"/>
        <v>31.449732316666672</v>
      </c>
      <c r="Z45" s="787">
        <f t="shared" si="69"/>
        <v>31.449732316666672</v>
      </c>
      <c r="AA45" s="787">
        <f t="shared" si="69"/>
        <v>31.449732316666672</v>
      </c>
      <c r="AB45" s="787">
        <f t="shared" si="69"/>
        <v>0</v>
      </c>
      <c r="AC45" s="787">
        <f t="shared" si="69"/>
        <v>0</v>
      </c>
      <c r="AD45" s="787">
        <f t="shared" si="69"/>
        <v>0</v>
      </c>
      <c r="AE45" s="787">
        <f t="shared" si="69"/>
        <v>0</v>
      </c>
      <c r="AF45" s="787">
        <f t="shared" si="69"/>
        <v>0</v>
      </c>
      <c r="AG45" s="787">
        <f t="shared" si="69"/>
        <v>0</v>
      </c>
      <c r="AH45" s="787">
        <f t="shared" si="69"/>
        <v>0</v>
      </c>
      <c r="AI45" s="787">
        <f t="shared" si="69"/>
        <v>0</v>
      </c>
      <c r="AJ45" s="787">
        <f t="shared" si="69"/>
        <v>0</v>
      </c>
      <c r="AK45" s="787">
        <f t="shared" si="69"/>
        <v>0</v>
      </c>
      <c r="AL45" s="787">
        <f t="shared" si="69"/>
        <v>0</v>
      </c>
      <c r="AM45" s="787">
        <f t="shared" si="69"/>
        <v>0</v>
      </c>
      <c r="AN45" s="787">
        <f t="shared" si="69"/>
        <v>0</v>
      </c>
      <c r="AO45" s="787">
        <f t="shared" si="69"/>
        <v>0</v>
      </c>
      <c r="AP45" s="787">
        <f t="shared" si="69"/>
        <v>0</v>
      </c>
      <c r="AQ45" s="787">
        <f t="shared" si="69"/>
        <v>0</v>
      </c>
      <c r="AR45" s="787">
        <f t="shared" si="69"/>
        <v>0</v>
      </c>
      <c r="AS45" s="787">
        <f t="shared" si="69"/>
        <v>0</v>
      </c>
      <c r="AT45" s="787">
        <f t="shared" si="69"/>
        <v>0</v>
      </c>
      <c r="AU45" s="788">
        <f t="shared" si="69"/>
        <v>0</v>
      </c>
    </row>
    <row r="46" spans="1:49" s="15" customFormat="1" ht="13.5" outlineLevel="1" x14ac:dyDescent="0.25">
      <c r="B46" s="722" t="s">
        <v>1098</v>
      </c>
      <c r="C46" s="787">
        <f>C45</f>
        <v>0</v>
      </c>
      <c r="D46" s="787">
        <f>C46+D45</f>
        <v>0</v>
      </c>
      <c r="E46" s="787">
        <f t="shared" ref="E46:AU46" si="70">D46+E45</f>
        <v>31.449732316666672</v>
      </c>
      <c r="F46" s="787">
        <f t="shared" si="70"/>
        <v>62.899464633333345</v>
      </c>
      <c r="G46" s="787">
        <f t="shared" si="70"/>
        <v>94.349196950000021</v>
      </c>
      <c r="H46" s="787">
        <f t="shared" si="70"/>
        <v>125.79892926666669</v>
      </c>
      <c r="I46" s="787">
        <f t="shared" si="70"/>
        <v>157.24866158333336</v>
      </c>
      <c r="J46" s="787">
        <f t="shared" si="70"/>
        <v>188.69839390000004</v>
      </c>
      <c r="K46" s="787">
        <f t="shared" si="70"/>
        <v>220.14812621666672</v>
      </c>
      <c r="L46" s="787">
        <f t="shared" si="70"/>
        <v>251.59785853333341</v>
      </c>
      <c r="M46" s="787">
        <f t="shared" si="70"/>
        <v>283.04759085000006</v>
      </c>
      <c r="N46" s="787">
        <f t="shared" si="70"/>
        <v>314.49732316666672</v>
      </c>
      <c r="O46" s="787">
        <f t="shared" si="70"/>
        <v>345.94705548333337</v>
      </c>
      <c r="P46" s="787">
        <f t="shared" si="70"/>
        <v>377.39678780000003</v>
      </c>
      <c r="Q46" s="787">
        <f t="shared" si="70"/>
        <v>408.84652011666668</v>
      </c>
      <c r="R46" s="787">
        <f t="shared" si="70"/>
        <v>440.29625243333334</v>
      </c>
      <c r="S46" s="787">
        <f t="shared" si="70"/>
        <v>471.74598474999999</v>
      </c>
      <c r="T46" s="787">
        <f t="shared" si="70"/>
        <v>503.19571706666665</v>
      </c>
      <c r="U46" s="787">
        <f t="shared" si="70"/>
        <v>534.64544938333336</v>
      </c>
      <c r="V46" s="787">
        <f t="shared" si="70"/>
        <v>566.09518170000001</v>
      </c>
      <c r="W46" s="787">
        <f t="shared" si="70"/>
        <v>597.54491401666667</v>
      </c>
      <c r="X46" s="787">
        <f t="shared" si="70"/>
        <v>628.99464633333332</v>
      </c>
      <c r="Y46" s="787">
        <f t="shared" si="70"/>
        <v>660.44437864999998</v>
      </c>
      <c r="Z46" s="787">
        <f t="shared" si="70"/>
        <v>691.89411096666663</v>
      </c>
      <c r="AA46" s="787">
        <f t="shared" si="70"/>
        <v>723.34384328333329</v>
      </c>
      <c r="AB46" s="787">
        <f t="shared" si="70"/>
        <v>723.34384328333329</v>
      </c>
      <c r="AC46" s="787">
        <f t="shared" si="70"/>
        <v>723.34384328333329</v>
      </c>
      <c r="AD46" s="787">
        <f t="shared" si="70"/>
        <v>723.34384328333329</v>
      </c>
      <c r="AE46" s="787">
        <f t="shared" si="70"/>
        <v>723.34384328333329</v>
      </c>
      <c r="AF46" s="787">
        <f t="shared" si="70"/>
        <v>723.34384328333329</v>
      </c>
      <c r="AG46" s="787">
        <f t="shared" si="70"/>
        <v>723.34384328333329</v>
      </c>
      <c r="AH46" s="787">
        <f t="shared" si="70"/>
        <v>723.34384328333329</v>
      </c>
      <c r="AI46" s="787">
        <f t="shared" si="70"/>
        <v>723.34384328333329</v>
      </c>
      <c r="AJ46" s="787">
        <f t="shared" si="70"/>
        <v>723.34384328333329</v>
      </c>
      <c r="AK46" s="787">
        <f t="shared" si="70"/>
        <v>723.34384328333329</v>
      </c>
      <c r="AL46" s="787">
        <f t="shared" si="70"/>
        <v>723.34384328333329</v>
      </c>
      <c r="AM46" s="787">
        <f t="shared" si="70"/>
        <v>723.34384328333329</v>
      </c>
      <c r="AN46" s="787">
        <f t="shared" si="70"/>
        <v>723.34384328333329</v>
      </c>
      <c r="AO46" s="787">
        <f t="shared" si="70"/>
        <v>723.34384328333329</v>
      </c>
      <c r="AP46" s="787">
        <f t="shared" si="70"/>
        <v>723.34384328333329</v>
      </c>
      <c r="AQ46" s="787">
        <f t="shared" si="70"/>
        <v>723.34384328333329</v>
      </c>
      <c r="AR46" s="787">
        <f t="shared" si="70"/>
        <v>723.34384328333329</v>
      </c>
      <c r="AS46" s="787">
        <f t="shared" si="70"/>
        <v>723.34384328333329</v>
      </c>
      <c r="AT46" s="787">
        <f t="shared" si="70"/>
        <v>723.34384328333329</v>
      </c>
      <c r="AU46" s="788">
        <f t="shared" si="70"/>
        <v>723.34384328333329</v>
      </c>
    </row>
    <row r="47" spans="1:49" s="15" customFormat="1" ht="13.5" outlineLevel="1" x14ac:dyDescent="0.25">
      <c r="B47" s="431" t="s">
        <v>1099</v>
      </c>
      <c r="C47" s="787">
        <f>(($E$12-$D$12)*$C$12*$F$12+($E$13-$D$13)*$C$13*$F$13+($E$14-$D$14)*$C$14*$F$14)/$C$9*$C$16/1000000*C41</f>
        <v>0</v>
      </c>
      <c r="D47" s="787">
        <f t="shared" ref="D47:AU47" si="71">(($E$12-$D$12)*$C$12*$F$12+($E$13-$D$13)*$C$13*$F$13+($E$14-$D$14)*$C$14*$F$14)/$C$9*$C$16/1000000*D41</f>
        <v>0</v>
      </c>
      <c r="E47" s="787">
        <f t="shared" si="71"/>
        <v>16.310715573333336</v>
      </c>
      <c r="F47" s="787">
        <f t="shared" si="71"/>
        <v>16.310715573333336</v>
      </c>
      <c r="G47" s="787">
        <f t="shared" si="71"/>
        <v>16.310715573333336</v>
      </c>
      <c r="H47" s="787">
        <f t="shared" si="71"/>
        <v>16.310715573333336</v>
      </c>
      <c r="I47" s="787">
        <f t="shared" si="71"/>
        <v>16.310715573333336</v>
      </c>
      <c r="J47" s="787">
        <f t="shared" si="71"/>
        <v>16.310715573333336</v>
      </c>
      <c r="K47" s="787">
        <f t="shared" si="71"/>
        <v>16.310715573333336</v>
      </c>
      <c r="L47" s="787">
        <f t="shared" si="71"/>
        <v>16.310715573333336</v>
      </c>
      <c r="M47" s="787">
        <f t="shared" si="71"/>
        <v>16.310715573333336</v>
      </c>
      <c r="N47" s="787">
        <f t="shared" si="71"/>
        <v>16.310715573333336</v>
      </c>
      <c r="O47" s="787">
        <f t="shared" si="71"/>
        <v>16.310715573333336</v>
      </c>
      <c r="P47" s="787">
        <f t="shared" si="71"/>
        <v>16.310715573333336</v>
      </c>
      <c r="Q47" s="787">
        <f t="shared" si="71"/>
        <v>16.310715573333336</v>
      </c>
      <c r="R47" s="787">
        <f t="shared" si="71"/>
        <v>16.310715573333336</v>
      </c>
      <c r="S47" s="787">
        <f t="shared" si="71"/>
        <v>16.310715573333336</v>
      </c>
      <c r="T47" s="787">
        <f t="shared" si="71"/>
        <v>16.310715573333336</v>
      </c>
      <c r="U47" s="787">
        <f t="shared" si="71"/>
        <v>16.310715573333336</v>
      </c>
      <c r="V47" s="787">
        <f t="shared" si="71"/>
        <v>16.310715573333336</v>
      </c>
      <c r="W47" s="787">
        <f t="shared" si="71"/>
        <v>16.310715573333336</v>
      </c>
      <c r="X47" s="787">
        <f t="shared" si="71"/>
        <v>16.310715573333336</v>
      </c>
      <c r="Y47" s="787">
        <f t="shared" si="71"/>
        <v>16.310715573333336</v>
      </c>
      <c r="Z47" s="787">
        <f t="shared" si="71"/>
        <v>16.310715573333336</v>
      </c>
      <c r="AA47" s="787">
        <f t="shared" si="71"/>
        <v>16.310715573333336</v>
      </c>
      <c r="AB47" s="787">
        <f t="shared" si="71"/>
        <v>0</v>
      </c>
      <c r="AC47" s="787">
        <f t="shared" si="71"/>
        <v>0</v>
      </c>
      <c r="AD47" s="787">
        <f t="shared" si="71"/>
        <v>0</v>
      </c>
      <c r="AE47" s="787">
        <f t="shared" si="71"/>
        <v>0</v>
      </c>
      <c r="AF47" s="787">
        <f t="shared" si="71"/>
        <v>0</v>
      </c>
      <c r="AG47" s="787">
        <f t="shared" si="71"/>
        <v>0</v>
      </c>
      <c r="AH47" s="787">
        <f t="shared" si="71"/>
        <v>0</v>
      </c>
      <c r="AI47" s="787">
        <f t="shared" si="71"/>
        <v>0</v>
      </c>
      <c r="AJ47" s="787">
        <f t="shared" si="71"/>
        <v>0</v>
      </c>
      <c r="AK47" s="787">
        <f t="shared" si="71"/>
        <v>0</v>
      </c>
      <c r="AL47" s="787">
        <f t="shared" si="71"/>
        <v>0</v>
      </c>
      <c r="AM47" s="787">
        <f t="shared" si="71"/>
        <v>0</v>
      </c>
      <c r="AN47" s="787">
        <f t="shared" si="71"/>
        <v>0</v>
      </c>
      <c r="AO47" s="787">
        <f t="shared" si="71"/>
        <v>0</v>
      </c>
      <c r="AP47" s="787">
        <f t="shared" si="71"/>
        <v>0</v>
      </c>
      <c r="AQ47" s="787">
        <f t="shared" si="71"/>
        <v>0</v>
      </c>
      <c r="AR47" s="787">
        <f t="shared" si="71"/>
        <v>0</v>
      </c>
      <c r="AS47" s="787">
        <f t="shared" si="71"/>
        <v>0</v>
      </c>
      <c r="AT47" s="787">
        <f t="shared" si="71"/>
        <v>0</v>
      </c>
      <c r="AU47" s="788">
        <f t="shared" si="71"/>
        <v>0</v>
      </c>
    </row>
    <row r="48" spans="1:49" s="15" customFormat="1" ht="13.5" outlineLevel="1" x14ac:dyDescent="0.25">
      <c r="B48" s="722" t="s">
        <v>1098</v>
      </c>
      <c r="C48" s="787">
        <f>C47</f>
        <v>0</v>
      </c>
      <c r="D48" s="787">
        <f>C48+D47</f>
        <v>0</v>
      </c>
      <c r="E48" s="787">
        <f t="shared" ref="E48:AU48" si="72">D48+E47</f>
        <v>16.310715573333336</v>
      </c>
      <c r="F48" s="787">
        <f t="shared" si="72"/>
        <v>32.621431146666673</v>
      </c>
      <c r="G48" s="787">
        <f t="shared" si="72"/>
        <v>48.932146720000006</v>
      </c>
      <c r="H48" s="787">
        <f t="shared" si="72"/>
        <v>65.242862293333346</v>
      </c>
      <c r="I48" s="787">
        <f t="shared" si="72"/>
        <v>81.553577866666686</v>
      </c>
      <c r="J48" s="787">
        <f t="shared" si="72"/>
        <v>97.864293440000026</v>
      </c>
      <c r="K48" s="787">
        <f t="shared" si="72"/>
        <v>114.17500901333337</v>
      </c>
      <c r="L48" s="787">
        <f t="shared" si="72"/>
        <v>130.48572458666669</v>
      </c>
      <c r="M48" s="787">
        <f t="shared" si="72"/>
        <v>146.79644016000003</v>
      </c>
      <c r="N48" s="787">
        <f t="shared" si="72"/>
        <v>163.10715573333337</v>
      </c>
      <c r="O48" s="787">
        <f t="shared" si="72"/>
        <v>179.41787130666671</v>
      </c>
      <c r="P48" s="787">
        <f t="shared" si="72"/>
        <v>195.72858688000005</v>
      </c>
      <c r="Q48" s="787">
        <f t="shared" si="72"/>
        <v>212.03930245333339</v>
      </c>
      <c r="R48" s="787">
        <f t="shared" si="72"/>
        <v>228.35001802666673</v>
      </c>
      <c r="S48" s="787">
        <f t="shared" si="72"/>
        <v>244.66073360000007</v>
      </c>
      <c r="T48" s="787">
        <f t="shared" si="72"/>
        <v>260.97144917333338</v>
      </c>
      <c r="U48" s="787">
        <f t="shared" si="72"/>
        <v>277.28216474666669</v>
      </c>
      <c r="V48" s="787">
        <f t="shared" si="72"/>
        <v>293.59288032000001</v>
      </c>
      <c r="W48" s="787">
        <f t="shared" si="72"/>
        <v>309.90359589333332</v>
      </c>
      <c r="X48" s="787">
        <f t="shared" si="72"/>
        <v>326.21431146666663</v>
      </c>
      <c r="Y48" s="787">
        <f t="shared" si="72"/>
        <v>342.52502703999994</v>
      </c>
      <c r="Z48" s="787">
        <f t="shared" si="72"/>
        <v>358.83574261333325</v>
      </c>
      <c r="AA48" s="787">
        <f t="shared" si="72"/>
        <v>375.14645818666656</v>
      </c>
      <c r="AB48" s="787">
        <f t="shared" si="72"/>
        <v>375.14645818666656</v>
      </c>
      <c r="AC48" s="787">
        <f t="shared" si="72"/>
        <v>375.14645818666656</v>
      </c>
      <c r="AD48" s="787">
        <f t="shared" si="72"/>
        <v>375.14645818666656</v>
      </c>
      <c r="AE48" s="787">
        <f t="shared" si="72"/>
        <v>375.14645818666656</v>
      </c>
      <c r="AF48" s="787">
        <f t="shared" si="72"/>
        <v>375.14645818666656</v>
      </c>
      <c r="AG48" s="787">
        <f t="shared" si="72"/>
        <v>375.14645818666656</v>
      </c>
      <c r="AH48" s="787">
        <f t="shared" si="72"/>
        <v>375.14645818666656</v>
      </c>
      <c r="AI48" s="787">
        <f t="shared" si="72"/>
        <v>375.14645818666656</v>
      </c>
      <c r="AJ48" s="787">
        <f t="shared" si="72"/>
        <v>375.14645818666656</v>
      </c>
      <c r="AK48" s="787">
        <f t="shared" si="72"/>
        <v>375.14645818666656</v>
      </c>
      <c r="AL48" s="787">
        <f t="shared" si="72"/>
        <v>375.14645818666656</v>
      </c>
      <c r="AM48" s="787">
        <f t="shared" si="72"/>
        <v>375.14645818666656</v>
      </c>
      <c r="AN48" s="787">
        <f t="shared" si="72"/>
        <v>375.14645818666656</v>
      </c>
      <c r="AO48" s="787">
        <f t="shared" si="72"/>
        <v>375.14645818666656</v>
      </c>
      <c r="AP48" s="787">
        <f t="shared" si="72"/>
        <v>375.14645818666656</v>
      </c>
      <c r="AQ48" s="787">
        <f t="shared" si="72"/>
        <v>375.14645818666656</v>
      </c>
      <c r="AR48" s="787">
        <f t="shared" si="72"/>
        <v>375.14645818666656</v>
      </c>
      <c r="AS48" s="787">
        <f t="shared" si="72"/>
        <v>375.14645818666656</v>
      </c>
      <c r="AT48" s="787">
        <f t="shared" si="72"/>
        <v>375.14645818666656</v>
      </c>
      <c r="AU48" s="788">
        <f t="shared" si="72"/>
        <v>375.14645818666656</v>
      </c>
    </row>
    <row r="49" spans="2:47" s="15" customFormat="1" ht="13.5" outlineLevel="1" x14ac:dyDescent="0.25">
      <c r="B49" s="431" t="s">
        <v>1100</v>
      </c>
      <c r="C49" s="789">
        <f>SISENDID!H73</f>
        <v>5.9700000000000003E-2</v>
      </c>
      <c r="D49" s="789">
        <f>SISENDID!I73</f>
        <v>4.4775000000000002E-2</v>
      </c>
      <c r="E49" s="789">
        <f>SISENDID!J73</f>
        <v>2.9850000000000002E-2</v>
      </c>
      <c r="F49" s="789">
        <f>SISENDID!K73</f>
        <v>1.4925000000000001E-2</v>
      </c>
      <c r="G49" s="789">
        <f>SISENDID!L73</f>
        <v>0</v>
      </c>
      <c r="H49" s="789">
        <f>SISENDID!M73</f>
        <v>0</v>
      </c>
      <c r="I49" s="789">
        <f>SISENDID!N73</f>
        <v>0</v>
      </c>
      <c r="J49" s="789">
        <f>SISENDID!O73</f>
        <v>0</v>
      </c>
      <c r="K49" s="789">
        <f>SISENDID!P73</f>
        <v>0</v>
      </c>
      <c r="L49" s="789">
        <f>SISENDID!Q73</f>
        <v>0</v>
      </c>
      <c r="M49" s="789">
        <f>SISENDID!R73</f>
        <v>0</v>
      </c>
      <c r="N49" s="789">
        <f>SISENDID!S73</f>
        <v>0</v>
      </c>
      <c r="O49" s="789">
        <f>SISENDID!T73</f>
        <v>0</v>
      </c>
      <c r="P49" s="789">
        <f>SISENDID!U73</f>
        <v>0</v>
      </c>
      <c r="Q49" s="789">
        <f>SISENDID!V73</f>
        <v>0</v>
      </c>
      <c r="R49" s="789">
        <f>SISENDID!W73</f>
        <v>0</v>
      </c>
      <c r="S49" s="789">
        <f>SISENDID!X73</f>
        <v>0</v>
      </c>
      <c r="T49" s="789">
        <f>SISENDID!Y73</f>
        <v>0</v>
      </c>
      <c r="U49" s="789">
        <f>SISENDID!Z73</f>
        <v>0</v>
      </c>
      <c r="V49" s="789">
        <f>SISENDID!AA73</f>
        <v>0</v>
      </c>
      <c r="W49" s="789">
        <f>SISENDID!AB73</f>
        <v>0</v>
      </c>
      <c r="X49" s="789">
        <f>SISENDID!AC73</f>
        <v>0</v>
      </c>
      <c r="Y49" s="789">
        <f>SISENDID!AD73</f>
        <v>0</v>
      </c>
      <c r="Z49" s="789">
        <f>SISENDID!AE73</f>
        <v>0</v>
      </c>
      <c r="AA49" s="789">
        <f>SISENDID!AF73</f>
        <v>0</v>
      </c>
      <c r="AB49" s="789">
        <f>SISENDID!AG73</f>
        <v>0</v>
      </c>
      <c r="AC49" s="789">
        <f>SISENDID!AH73</f>
        <v>0</v>
      </c>
      <c r="AD49" s="789">
        <f>SISENDID!AI73</f>
        <v>0</v>
      </c>
      <c r="AE49" s="789">
        <f>SISENDID!AJ73</f>
        <v>0</v>
      </c>
      <c r="AF49" s="789">
        <f>SISENDID!AK73</f>
        <v>0</v>
      </c>
      <c r="AG49" s="789">
        <f>SISENDID!AL73</f>
        <v>0</v>
      </c>
      <c r="AH49" s="789">
        <f>SISENDID!AM73</f>
        <v>0</v>
      </c>
      <c r="AI49" s="789">
        <f>SISENDID!AN73</f>
        <v>0</v>
      </c>
      <c r="AJ49" s="789">
        <f>SISENDID!AO73</f>
        <v>0</v>
      </c>
      <c r="AK49" s="789">
        <f>SISENDID!AP73</f>
        <v>0</v>
      </c>
      <c r="AL49" s="789">
        <f>SISENDID!AQ73</f>
        <v>0</v>
      </c>
      <c r="AM49" s="789">
        <f>SISENDID!AR73</f>
        <v>0</v>
      </c>
      <c r="AN49" s="789">
        <f>SISENDID!AS73</f>
        <v>0</v>
      </c>
      <c r="AO49" s="789">
        <f>SISENDID!AT73</f>
        <v>0</v>
      </c>
      <c r="AP49" s="789">
        <f>SISENDID!AU73</f>
        <v>0</v>
      </c>
      <c r="AQ49" s="789">
        <f>SISENDID!AV73</f>
        <v>0</v>
      </c>
      <c r="AR49" s="789">
        <f>SISENDID!AW73</f>
        <v>0</v>
      </c>
      <c r="AS49" s="789">
        <f>SISENDID!AX73</f>
        <v>0</v>
      </c>
      <c r="AT49" s="789">
        <f>SISENDID!AY73</f>
        <v>0</v>
      </c>
      <c r="AU49" s="790">
        <f>SISENDID!AZ73</f>
        <v>0</v>
      </c>
    </row>
    <row r="50" spans="2:47" s="39" customFormat="1" ht="13.5" outlineLevel="1" x14ac:dyDescent="0.25">
      <c r="B50" s="715" t="s">
        <v>931</v>
      </c>
      <c r="C50" s="683">
        <f>(C48*SISENDID!$C$72-'SM1'!C46*'SM1'!C49)*1000</f>
        <v>0</v>
      </c>
      <c r="D50" s="683">
        <f>(D48*SISENDID!$C$72-'SM1'!D46*'SM1'!D49)*1000</f>
        <v>0</v>
      </c>
      <c r="E50" s="683">
        <f>(E48*SISENDID!$C$72-'SM1'!E46*'SM1'!E49)*1000</f>
        <v>2310.1569253997673</v>
      </c>
      <c r="F50" s="683">
        <f>(F48*SISENDID!$C$72-'SM1'!F46*'SM1'!F49)*1000</f>
        <v>5559.0883604520341</v>
      </c>
      <c r="G50" s="683">
        <f>(G48*SISENDID!$C$72-'SM1'!G46*'SM1'!G49)*1000</f>
        <v>9746.7943051568</v>
      </c>
      <c r="H50" s="683">
        <f>(H48*SISENDID!$C$72-'SM1'!H46*'SM1'!H49)*1000</f>
        <v>12995.725740209069</v>
      </c>
      <c r="I50" s="683">
        <f>(I48*SISENDID!$C$72-'SM1'!I46*'SM1'!I49)*1000</f>
        <v>16244.657175261338</v>
      </c>
      <c r="J50" s="683">
        <f>(J48*SISENDID!$C$72-'SM1'!J46*'SM1'!J49)*1000</f>
        <v>19493.588610313604</v>
      </c>
      <c r="K50" s="683">
        <f>(K48*SISENDID!$C$72-'SM1'!K46*'SM1'!K49)*1000</f>
        <v>22742.520045365876</v>
      </c>
      <c r="L50" s="683">
        <f>(L48*SISENDID!$C$72-'SM1'!L46*'SM1'!L49)*1000</f>
        <v>25991.451480418138</v>
      </c>
      <c r="M50" s="683">
        <f>(M48*SISENDID!$C$72-'SM1'!M46*'SM1'!M49)*1000</f>
        <v>29240.382915470407</v>
      </c>
      <c r="N50" s="683">
        <f>(N48*SISENDID!$C$72-'SM1'!N46*'SM1'!N49)*1000</f>
        <v>32489.314350522676</v>
      </c>
      <c r="O50" s="683">
        <f>(O48*SISENDID!$C$72-'SM1'!O46*'SM1'!O49)*1000</f>
        <v>35738.245785574945</v>
      </c>
      <c r="P50" s="683">
        <f>(P48*SISENDID!$C$72-'SM1'!P46*'SM1'!P49)*1000</f>
        <v>38987.177220627207</v>
      </c>
      <c r="Q50" s="683">
        <f>(Q48*SISENDID!$C$72-'SM1'!Q46*'SM1'!Q49)*1000</f>
        <v>42236.108655679483</v>
      </c>
      <c r="R50" s="683">
        <f>(R48*SISENDID!$C$72-'SM1'!R46*'SM1'!R49)*1000</f>
        <v>45485.040090731753</v>
      </c>
      <c r="S50" s="683">
        <f>(S48*SISENDID!$C$72-'SM1'!S46*'SM1'!S49)*1000</f>
        <v>48733.971525784014</v>
      </c>
      <c r="T50" s="683">
        <f>(T48*SISENDID!$C$72-'SM1'!T46*'SM1'!T49)*1000</f>
        <v>51982.902960836276</v>
      </c>
      <c r="U50" s="683">
        <f>(U48*SISENDID!$C$72-'SM1'!U46*'SM1'!U49)*1000</f>
        <v>55231.834395888538</v>
      </c>
      <c r="V50" s="683">
        <f>(V48*SISENDID!$C$72-'SM1'!V46*'SM1'!V49)*1000</f>
        <v>58480.765830940807</v>
      </c>
      <c r="W50" s="683">
        <f>(W48*SISENDID!$C$72-'SM1'!W46*'SM1'!W49)*1000</f>
        <v>61729.697265993069</v>
      </c>
      <c r="X50" s="683">
        <f>(X48*SISENDID!$C$72-'SM1'!X46*'SM1'!X49)*1000</f>
        <v>64978.628701045323</v>
      </c>
      <c r="Y50" s="683">
        <f>(Y48*SISENDID!$C$72-'SM1'!Y46*'SM1'!Y49)*1000</f>
        <v>68227.5601360976</v>
      </c>
      <c r="Z50" s="683">
        <f>(Z48*SISENDID!$C$72-'SM1'!Z46*'SM1'!Z49)*1000</f>
        <v>71476.491571149847</v>
      </c>
      <c r="AA50" s="683">
        <f>(AA48*SISENDID!$C$72-'SM1'!AA46*'SM1'!AA49)*1000</f>
        <v>74725.423006202123</v>
      </c>
      <c r="AB50" s="683">
        <f>(AB48*SISENDID!$C$72-'SM1'!AB46*'SM1'!AB49)*1000</f>
        <v>74725.423006202123</v>
      </c>
      <c r="AC50" s="683">
        <f>(AC48*SISENDID!$C$72-'SM1'!AC46*'SM1'!AC49)*1000</f>
        <v>74725.423006202123</v>
      </c>
      <c r="AD50" s="683">
        <f>(AD48*SISENDID!$C$72-'SM1'!AD46*'SM1'!AD49)*1000</f>
        <v>74725.423006202123</v>
      </c>
      <c r="AE50" s="683">
        <f>(AE48*SISENDID!$C$72-'SM1'!AE46*'SM1'!AE49)*1000</f>
        <v>74725.423006202123</v>
      </c>
      <c r="AF50" s="683">
        <f>(AF48*SISENDID!$C$72-'SM1'!AF46*'SM1'!AF49)*1000</f>
        <v>74725.423006202123</v>
      </c>
      <c r="AG50" s="683">
        <f>(AG48*SISENDID!$C$72-'SM1'!AG46*'SM1'!AG49)*1000</f>
        <v>74725.423006202123</v>
      </c>
      <c r="AH50" s="683">
        <f>(AH48*SISENDID!$C$72-'SM1'!AH46*'SM1'!AH49)*1000</f>
        <v>74725.423006202123</v>
      </c>
      <c r="AI50" s="683">
        <f>(AI48*SISENDID!$C$72-'SM1'!AI46*'SM1'!AI49)*1000</f>
        <v>74725.423006202123</v>
      </c>
      <c r="AJ50" s="683">
        <f>(AJ48*SISENDID!$C$72-'SM1'!AJ46*'SM1'!AJ49)*1000</f>
        <v>74725.423006202123</v>
      </c>
      <c r="AK50" s="683">
        <f>(AK48*SISENDID!$C$72-'SM1'!AK46*'SM1'!AK49)*1000</f>
        <v>74725.423006202123</v>
      </c>
      <c r="AL50" s="683">
        <f>(AL48*SISENDID!$C$72-'SM1'!AL46*'SM1'!AL49)*1000</f>
        <v>74725.423006202123</v>
      </c>
      <c r="AM50" s="683">
        <f>(AM48*SISENDID!$C$72-'SM1'!AM46*'SM1'!AM49)*1000</f>
        <v>74725.423006202123</v>
      </c>
      <c r="AN50" s="683">
        <f>(AN48*SISENDID!$C$72-'SM1'!AN46*'SM1'!AN49)*1000</f>
        <v>74725.423006202123</v>
      </c>
      <c r="AO50" s="683">
        <f>(AO48*SISENDID!$C$72-'SM1'!AO46*'SM1'!AO49)*1000</f>
        <v>74725.423006202123</v>
      </c>
      <c r="AP50" s="683">
        <f>(AP48*SISENDID!$C$72-'SM1'!AP46*'SM1'!AP49)*1000</f>
        <v>74725.423006202123</v>
      </c>
      <c r="AQ50" s="683">
        <f>(AQ48*SISENDID!$C$72-'SM1'!AQ46*'SM1'!AQ49)*1000</f>
        <v>74725.423006202123</v>
      </c>
      <c r="AR50" s="683">
        <f>(AR48*SISENDID!$C$72-'SM1'!AR46*'SM1'!AR49)*1000</f>
        <v>74725.423006202123</v>
      </c>
      <c r="AS50" s="683">
        <f>(AS48*SISENDID!$C$72-'SM1'!AS46*'SM1'!AS49)*1000</f>
        <v>74725.423006202123</v>
      </c>
      <c r="AT50" s="683">
        <f>(AT48*SISENDID!$C$72-'SM1'!AT46*'SM1'!AT49)*1000</f>
        <v>74725.423006202123</v>
      </c>
      <c r="AU50" s="429">
        <f>(AU48*SISENDID!$C$72-'SM1'!AU46*'SM1'!AU49)*1000</f>
        <v>74725.423006202123</v>
      </c>
    </row>
    <row r="51" spans="2:47" s="15" customFormat="1" ht="18.75" customHeight="1" x14ac:dyDescent="0.25"/>
    <row r="52" spans="2:47" s="15" customFormat="1" ht="13.5" x14ac:dyDescent="0.25"/>
    <row r="53" spans="2:47" s="15" customFormat="1" ht="13.5" x14ac:dyDescent="0.25"/>
    <row r="54" spans="2:47" x14ac:dyDescent="0.25">
      <c r="C54" s="237"/>
      <c r="D54" s="237"/>
    </row>
    <row r="55" spans="2:47" x14ac:dyDescent="0.25">
      <c r="C55" s="238"/>
      <c r="D55" s="237"/>
    </row>
    <row r="56" spans="2:47" x14ac:dyDescent="0.25">
      <c r="C56" s="238"/>
      <c r="D56" s="237"/>
    </row>
    <row r="57" spans="2:47" x14ac:dyDescent="0.25">
      <c r="C57" s="238"/>
      <c r="D57" s="239"/>
    </row>
    <row r="58" spans="2:47" x14ac:dyDescent="0.25">
      <c r="C58" s="238"/>
      <c r="D58" s="240"/>
    </row>
    <row r="59" spans="2:47" x14ac:dyDescent="0.25">
      <c r="C59" s="238"/>
      <c r="D59" s="237"/>
    </row>
    <row r="60" spans="2:47" x14ac:dyDescent="0.25">
      <c r="C60" s="237"/>
      <c r="D60" s="237"/>
    </row>
    <row r="61" spans="2:47" x14ac:dyDescent="0.25">
      <c r="C61" s="237"/>
      <c r="D61" s="237"/>
    </row>
    <row r="62" spans="2:47" x14ac:dyDescent="0.25">
      <c r="C62" s="237"/>
      <c r="D62" s="239"/>
    </row>
    <row r="63" spans="2:47" x14ac:dyDescent="0.25">
      <c r="C63" s="237"/>
      <c r="D63" s="239"/>
    </row>
  </sheetData>
  <sheetProtection algorithmName="SHA-512" hashValue="bBeardgQ0FfHZW9pJU7F4tJVNEOZG6jNYFGN2Y2ZdmpgyUzRMoV5IrS54Qsrp/BF2rFKvHQ78e9/W2f8IWTdlw==" saltValue="gPaeRLW/aCvlViz/NBEQ+g==" spinCount="100000" sheet="1" objects="1" scenarios="1" selectLockedCells="1"/>
  <mergeCells count="2">
    <mergeCell ref="B3:D3"/>
    <mergeCell ref="E3:L3"/>
  </mergeCells>
  <conditionalFormatting sqref="C34:C36">
    <cfRule type="containsText" dxfId="62" priority="1" operator="containsText" text="Kõrge">
      <formula>NOT(ISERROR(SEARCH("Kõrge",C34)))</formula>
    </cfRule>
    <cfRule type="containsText" dxfId="61" priority="2" operator="containsText" text="Mõõdukas">
      <formula>NOT(ISERROR(SEARCH("Mõõdukas",C34)))</formula>
    </cfRule>
    <cfRule type="containsText" dxfId="60" priority="3" operator="containsText" text="Madal">
      <formula>NOT(ISERROR(SEARCH("Madal",C34)))</formula>
    </cfRule>
  </conditionalFormatting>
  <dataValidations count="3">
    <dataValidation type="list" allowBlank="1" showInputMessage="1" showErrorMessage="1" sqref="C36" xr:uid="{7BBED208-2532-41EA-8C7C-54BDE6DE6493}">
      <formula1>I34:I36</formula1>
    </dataValidation>
    <dataValidation type="list" allowBlank="1" showInputMessage="1" showErrorMessage="1" sqref="C34" xr:uid="{70153A5E-4F7D-485A-9A36-E0F9546F0FF7}">
      <formula1>I34:I36</formula1>
    </dataValidation>
    <dataValidation type="list" allowBlank="1" showInputMessage="1" showErrorMessage="1" sqref="C35" xr:uid="{8615589B-F8E5-492B-81B4-A3A0F9ED8B57}">
      <formula1>I34:I36</formula1>
    </dataValidation>
  </dataValidations>
  <hyperlinks>
    <hyperlink ref="B1" location="MEETMED!A1" display="&lt;-MEETMETE NIMEKIRI" xr:uid="{4D5DEF40-8B26-4F6D-888F-2A8D41586375}"/>
    <hyperlink ref="E18" r:id="rId1" xr:uid="{0BEA0E90-8D1C-45B7-A79D-D0202430EBC9}"/>
  </hyperlinks>
  <pageMargins left="0.7" right="0.7" top="0.75" bottom="0.75" header="0.3" footer="0.3"/>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30EF-0C57-415D-BEDD-7AF85C60AB0E}">
  <sheetPr>
    <tabColor theme="3" tint="0.89999084444715716"/>
  </sheetPr>
  <dimension ref="A1:AW58"/>
  <sheetViews>
    <sheetView showGridLines="0" zoomScaleNormal="100" workbookViewId="0">
      <selection activeCell="C12" sqref="C12"/>
    </sheetView>
  </sheetViews>
  <sheetFormatPr defaultColWidth="8.85546875" defaultRowHeight="15" outlineLevelRow="1" x14ac:dyDescent="0.25"/>
  <cols>
    <col min="1" max="1" width="2.28515625" customWidth="1"/>
    <col min="2" max="2" width="49.5703125" customWidth="1"/>
    <col min="3" max="3" width="14.42578125" customWidth="1"/>
    <col min="4" max="4" width="14.28515625" customWidth="1"/>
    <col min="5" max="5" width="12.140625" customWidth="1"/>
    <col min="6" max="6" width="11.85546875" customWidth="1"/>
    <col min="7" max="7" width="11.28515625" customWidth="1"/>
    <col min="8"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5.25" customHeight="1" x14ac:dyDescent="0.25">
      <c r="A3" s="260" t="s">
        <v>66</v>
      </c>
      <c r="B3" s="988" t="str">
        <f>"MEEDE: "&amp;VLOOKUP(A3,MEETMED!B:G,2,FALSE)</f>
        <v>MEEDE: Kaugkütte- ja kaugjahutuse arendamine - kommunaalhooned</v>
      </c>
      <c r="C3" s="988"/>
      <c r="D3" s="988"/>
      <c r="E3" s="990" t="str">
        <f>"TEGEVUS: "&amp;VLOOKUP(A3,MEETMED!B:G,3,FALSE)</f>
        <v>TEGEVUS: Kaugkütte pakkuja Utilitas 2030. aastast alates on kliimaneutraalne ning pakub ainult rohelist energiat</v>
      </c>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A4" s="1">
        <v>2</v>
      </c>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33"/>
    </row>
    <row r="7" spans="1:27" s="1" customFormat="1" outlineLevel="1" x14ac:dyDescent="0.25">
      <c r="B7" s="155" t="s">
        <v>862</v>
      </c>
      <c r="C7" s="901">
        <v>2026</v>
      </c>
      <c r="D7" s="155" t="s">
        <v>863</v>
      </c>
      <c r="E7" s="339"/>
      <c r="F7" s="339"/>
      <c r="G7" s="339"/>
      <c r="H7" s="339"/>
      <c r="I7" s="339"/>
      <c r="J7" s="339"/>
      <c r="K7" s="339"/>
      <c r="L7" s="277" t="s">
        <v>876</v>
      </c>
    </row>
    <row r="8" spans="1:27" s="1" customFormat="1" outlineLevel="1" x14ac:dyDescent="0.25">
      <c r="B8" s="155" t="s">
        <v>864</v>
      </c>
      <c r="C8" s="901">
        <v>2030</v>
      </c>
      <c r="D8" s="155" t="s">
        <v>863</v>
      </c>
      <c r="E8" s="339"/>
      <c r="F8" s="339"/>
      <c r="G8" s="339"/>
      <c r="H8" s="339"/>
      <c r="I8" s="339"/>
      <c r="J8" s="339"/>
      <c r="K8" s="339"/>
      <c r="L8" s="893" t="s">
        <v>1670</v>
      </c>
      <c r="M8" s="305" t="s">
        <v>877</v>
      </c>
    </row>
    <row r="9" spans="1:27" s="1" customFormat="1" outlineLevel="1" x14ac:dyDescent="0.25">
      <c r="B9" s="155" t="s">
        <v>865</v>
      </c>
      <c r="C9" s="229">
        <f>C8-C7+1</f>
        <v>5</v>
      </c>
      <c r="D9" s="155" t="s">
        <v>863</v>
      </c>
      <c r="E9" s="339"/>
      <c r="F9" s="339"/>
      <c r="G9" s="339"/>
      <c r="H9" s="339"/>
      <c r="I9" s="339"/>
      <c r="J9" s="339"/>
      <c r="K9" s="339"/>
      <c r="L9" s="892" t="s">
        <v>878</v>
      </c>
      <c r="M9" s="305" t="s">
        <v>1669</v>
      </c>
    </row>
    <row r="10" spans="1:27" s="1" customFormat="1" outlineLevel="1" x14ac:dyDescent="0.25">
      <c r="B10" s="305" t="s">
        <v>1101</v>
      </c>
      <c r="C10" s="922">
        <f>SISENDID!C73</f>
        <v>0.114</v>
      </c>
      <c r="D10" s="305" t="s">
        <v>563</v>
      </c>
      <c r="E10" s="339"/>
      <c r="F10" s="339"/>
      <c r="G10" s="339"/>
      <c r="H10" s="339"/>
      <c r="I10" s="339"/>
      <c r="J10" s="339"/>
      <c r="K10" s="339"/>
      <c r="L10" s="892" t="s">
        <v>1671</v>
      </c>
      <c r="M10" s="228">
        <v>1234</v>
      </c>
    </row>
    <row r="11" spans="1:27" s="1" customFormat="1" outlineLevel="1" x14ac:dyDescent="0.25">
      <c r="B11" s="305" t="s">
        <v>1102</v>
      </c>
      <c r="C11" s="922">
        <f>0.7*0+0.3*0.199</f>
        <v>5.9700000000000003E-2</v>
      </c>
      <c r="D11" s="305" t="s">
        <v>563</v>
      </c>
      <c r="E11" s="339" t="s">
        <v>1103</v>
      </c>
      <c r="F11" s="339"/>
      <c r="G11" s="339"/>
      <c r="H11" s="339"/>
      <c r="I11" s="339"/>
      <c r="J11" s="339"/>
      <c r="K11" s="339"/>
      <c r="L11" s="339"/>
    </row>
    <row r="12" spans="1:27" s="1" customFormat="1" outlineLevel="1" x14ac:dyDescent="0.25">
      <c r="B12" s="305" t="s">
        <v>1104</v>
      </c>
      <c r="C12" s="901">
        <v>0</v>
      </c>
      <c r="D12" s="305" t="s">
        <v>563</v>
      </c>
      <c r="E12" s="339" t="s">
        <v>1105</v>
      </c>
      <c r="F12" s="339"/>
      <c r="G12" s="339"/>
      <c r="H12" s="339"/>
      <c r="I12" s="339"/>
      <c r="J12" s="379"/>
      <c r="K12" s="339"/>
      <c r="L12" s="339"/>
    </row>
    <row r="13" spans="1:27" s="1" customFormat="1" outlineLevel="1" x14ac:dyDescent="0.25">
      <c r="B13" s="305" t="s">
        <v>1106</v>
      </c>
      <c r="C13" s="230">
        <f>SISENDID!D40+SISENDID!D57+SISENDID!E31</f>
        <v>1776.1999999999998</v>
      </c>
      <c r="D13" s="305" t="s">
        <v>502</v>
      </c>
      <c r="E13" s="339"/>
      <c r="F13" s="339"/>
      <c r="G13" s="339"/>
      <c r="H13" s="339"/>
      <c r="I13" s="339"/>
      <c r="J13" s="339"/>
      <c r="K13" s="339"/>
      <c r="L13" s="339"/>
    </row>
    <row r="14" spans="1:27" s="1" customFormat="1" outlineLevel="1" x14ac:dyDescent="0.25">
      <c r="B14" s="305" t="s">
        <v>1107</v>
      </c>
      <c r="C14" s="230">
        <f>SISENDID!E31</f>
        <v>132</v>
      </c>
      <c r="D14" s="305" t="s">
        <v>502</v>
      </c>
      <c r="E14" s="339"/>
      <c r="F14" s="339"/>
      <c r="G14" s="339"/>
      <c r="H14" s="339"/>
      <c r="I14" s="339"/>
      <c r="J14" s="339"/>
      <c r="K14" s="339"/>
      <c r="L14" s="339"/>
    </row>
    <row r="15" spans="1:27" s="1" customFormat="1" outlineLevel="1" x14ac:dyDescent="0.25">
      <c r="B15" s="305" t="s">
        <v>1108</v>
      </c>
      <c r="C15" s="901">
        <v>10</v>
      </c>
      <c r="D15" s="305" t="s">
        <v>1011</v>
      </c>
      <c r="E15" s="339" t="s">
        <v>1109</v>
      </c>
      <c r="F15" s="339"/>
      <c r="G15" s="339"/>
      <c r="H15" s="339"/>
      <c r="I15" s="339"/>
      <c r="J15" s="339"/>
      <c r="K15" s="339"/>
      <c r="L15" s="339"/>
    </row>
    <row r="16" spans="1:27" s="1" customFormat="1" x14ac:dyDescent="0.25">
      <c r="B16" s="305"/>
      <c r="D16" s="305"/>
      <c r="E16" s="339"/>
      <c r="F16" s="339"/>
      <c r="G16" s="339"/>
      <c r="H16" s="339"/>
      <c r="I16" s="339"/>
      <c r="J16" s="339"/>
      <c r="K16" s="339"/>
      <c r="L16" s="339"/>
    </row>
    <row r="17" spans="1:34" x14ac:dyDescent="0.25">
      <c r="A17" s="1"/>
      <c r="B17" s="659" t="s">
        <v>895</v>
      </c>
      <c r="C17" s="659"/>
      <c r="D17" s="659"/>
      <c r="E17" s="659"/>
      <c r="F17" s="659"/>
      <c r="G17" s="659"/>
      <c r="H17" s="659"/>
      <c r="I17" s="659"/>
      <c r="J17" s="659"/>
      <c r="K17" s="659"/>
      <c r="L17" s="659"/>
      <c r="N17" s="1"/>
      <c r="T17" s="1"/>
      <c r="U17" s="1"/>
      <c r="V17" s="1"/>
      <c r="W17" s="1"/>
      <c r="X17" s="1"/>
      <c r="Y17" s="1"/>
      <c r="Z17" s="1"/>
      <c r="AA17" s="1"/>
      <c r="AB17" s="1"/>
      <c r="AC17" s="1"/>
      <c r="AD17" s="1"/>
      <c r="AE17" s="1"/>
      <c r="AF17" s="1"/>
      <c r="AG17" s="1"/>
      <c r="AH17" s="1"/>
    </row>
    <row r="18" spans="1:34" s="1" customFormat="1" ht="9.75" customHeight="1" outlineLevel="1" x14ac:dyDescent="0.25"/>
    <row r="19" spans="1:34" s="1" customFormat="1" outlineLevel="1" x14ac:dyDescent="0.25">
      <c r="B19" s="13" t="s">
        <v>896</v>
      </c>
      <c r="D19" s="234"/>
      <c r="E19" s="284" t="s">
        <v>897</v>
      </c>
      <c r="N19" s="327"/>
    </row>
    <row r="20" spans="1:34" s="1" customFormat="1" outlineLevel="1" x14ac:dyDescent="0.25">
      <c r="B20" s="660" t="s">
        <v>898</v>
      </c>
      <c r="C20" s="665" t="s">
        <v>899</v>
      </c>
      <c r="D20" s="234"/>
      <c r="E20" s="661"/>
      <c r="F20" s="701" t="s">
        <v>900</v>
      </c>
    </row>
    <row r="21" spans="1:34" s="1" customFormat="1" ht="15" customHeight="1" outlineLevel="1" x14ac:dyDescent="0.25">
      <c r="B21" s="663" t="s">
        <v>398</v>
      </c>
      <c r="C21" s="666">
        <f>SUM(C38:AA38)/25/1000</f>
        <v>0</v>
      </c>
      <c r="E21" s="663">
        <v>2030</v>
      </c>
      <c r="F21" s="670">
        <f>G45</f>
        <v>202486.8</v>
      </c>
    </row>
    <row r="22" spans="1:34" s="1" customFormat="1" ht="15" customHeight="1" outlineLevel="1" x14ac:dyDescent="0.25">
      <c r="B22" s="155" t="s">
        <v>399</v>
      </c>
      <c r="C22" s="667">
        <f>SUM(C39:AA39)/25/1000</f>
        <v>0</v>
      </c>
      <c r="E22" s="155">
        <v>2035</v>
      </c>
      <c r="F22" s="428">
        <f>L45</f>
        <v>202486.8</v>
      </c>
    </row>
    <row r="23" spans="1:34" s="1" customFormat="1" ht="15" customHeight="1" outlineLevel="1" x14ac:dyDescent="0.25">
      <c r="B23" s="663" t="s">
        <v>400</v>
      </c>
      <c r="C23" s="666">
        <f>C21</f>
        <v>0</v>
      </c>
      <c r="D23" s="261"/>
      <c r="E23" s="663">
        <v>2040</v>
      </c>
      <c r="F23" s="670">
        <f>Q45</f>
        <v>202486.8</v>
      </c>
      <c r="I23" s="228"/>
    </row>
    <row r="24" spans="1:34" s="1" customFormat="1" ht="15" customHeight="1" outlineLevel="1" x14ac:dyDescent="0.25">
      <c r="B24" s="155" t="s">
        <v>401</v>
      </c>
      <c r="C24" s="667">
        <f>C22</f>
        <v>0</v>
      </c>
      <c r="D24" s="261"/>
      <c r="E24" s="155">
        <v>2045</v>
      </c>
      <c r="F24" s="428">
        <f>V45</f>
        <v>202486.8</v>
      </c>
    </row>
    <row r="25" spans="1:34" s="1" customFormat="1" outlineLevel="1" x14ac:dyDescent="0.25">
      <c r="B25" s="663" t="s">
        <v>901</v>
      </c>
      <c r="C25" s="670">
        <f>MAX(C45:AQ45)</f>
        <v>202486.8</v>
      </c>
      <c r="D25" s="261"/>
      <c r="E25" s="663">
        <v>2050</v>
      </c>
      <c r="F25" s="670">
        <f>AA45</f>
        <v>202486.8</v>
      </c>
    </row>
    <row r="26" spans="1:34" s="1" customFormat="1" ht="15" customHeight="1" outlineLevel="1" x14ac:dyDescent="0.25">
      <c r="B26" s="155" t="s">
        <v>902</v>
      </c>
      <c r="C26" s="428" t="s">
        <v>949</v>
      </c>
      <c r="D26" s="261"/>
      <c r="E26" s="228"/>
    </row>
    <row r="27" spans="1:34" s="1" customFormat="1" ht="15" customHeight="1" outlineLevel="1" x14ac:dyDescent="0.25">
      <c r="B27" s="663" t="s">
        <v>403</v>
      </c>
      <c r="C27" s="670">
        <f>SUM(C38:AU38)*1000/SUM(C45:AU45)</f>
        <v>0</v>
      </c>
      <c r="D27" s="261"/>
      <c r="E27" s="228"/>
    </row>
    <row r="28" spans="1:34" s="1" customFormat="1" outlineLevel="1" x14ac:dyDescent="0.25">
      <c r="B28" s="13"/>
      <c r="C28" s="236"/>
      <c r="D28" s="234"/>
      <c r="E28" s="228"/>
    </row>
    <row r="29" spans="1:34" s="1" customFormat="1" outlineLevel="1" x14ac:dyDescent="0.25">
      <c r="B29" s="284" t="s">
        <v>903</v>
      </c>
      <c r="D29" s="43"/>
      <c r="E29" s="7"/>
      <c r="I29" s="360" t="s">
        <v>876</v>
      </c>
    </row>
    <row r="30" spans="1:34" s="1" customFormat="1" outlineLevel="1" x14ac:dyDescent="0.25">
      <c r="A30" s="33"/>
      <c r="B30" s="155" t="s">
        <v>904</v>
      </c>
      <c r="C30" s="307" t="s">
        <v>474</v>
      </c>
      <c r="E30" s="325" t="s">
        <v>1110</v>
      </c>
      <c r="F30" s="12"/>
      <c r="G30" s="12"/>
      <c r="H30" s="12"/>
      <c r="I30" s="311" t="s">
        <v>474</v>
      </c>
      <c r="J30" s="295" t="s">
        <v>906</v>
      </c>
    </row>
    <row r="31" spans="1:34" s="1" customFormat="1" ht="16.5" customHeight="1" outlineLevel="1" x14ac:dyDescent="0.25">
      <c r="A31" s="33">
        <v>1</v>
      </c>
      <c r="B31" s="155" t="s">
        <v>907</v>
      </c>
      <c r="C31" s="307" t="s">
        <v>474</v>
      </c>
      <c r="D31" s="397">
        <f>IF(C31="Kõrge",3,IF(C31="Mõõdukas",2,1))</f>
        <v>3</v>
      </c>
      <c r="E31" s="12"/>
      <c r="F31" s="12"/>
      <c r="G31" s="12"/>
      <c r="H31" s="12"/>
      <c r="I31" s="312" t="s">
        <v>905</v>
      </c>
      <c r="J31" s="295" t="s">
        <v>908</v>
      </c>
      <c r="K31" s="273" t="s">
        <v>1093</v>
      </c>
    </row>
    <row r="32" spans="1:34" s="1" customFormat="1" ht="16.5" customHeight="1" outlineLevel="1" x14ac:dyDescent="0.25">
      <c r="A32" s="33"/>
      <c r="B32" s="155" t="s">
        <v>909</v>
      </c>
      <c r="C32" s="307" t="s">
        <v>905</v>
      </c>
      <c r="D32" s="397">
        <f>IF(C32="Kõrge",3,IF(C32="Mõõdukas",2,1))</f>
        <v>2</v>
      </c>
      <c r="E32" s="12"/>
      <c r="F32" s="12"/>
      <c r="I32" s="313" t="s">
        <v>910</v>
      </c>
      <c r="J32" s="295" t="s">
        <v>911</v>
      </c>
      <c r="K32" s="273" t="s">
        <v>1094</v>
      </c>
    </row>
    <row r="33" spans="1:49" s="1" customFormat="1" x14ac:dyDescent="0.25">
      <c r="B33" s="13"/>
      <c r="C33" s="399" t="s">
        <v>912</v>
      </c>
      <c r="D33" s="398">
        <f>D32+D31</f>
        <v>5</v>
      </c>
    </row>
    <row r="34" spans="1:49" x14ac:dyDescent="0.25">
      <c r="A34" s="1"/>
      <c r="B34" s="659" t="s">
        <v>913</v>
      </c>
      <c r="C34" s="659"/>
      <c r="D34" s="659"/>
      <c r="E34" s="659"/>
      <c r="F34" s="659"/>
      <c r="G34" s="659"/>
      <c r="H34" s="659"/>
      <c r="I34" s="659"/>
      <c r="J34" s="659"/>
      <c r="K34" s="659"/>
      <c r="L34" s="659"/>
      <c r="M34" s="659"/>
      <c r="N34" s="659"/>
      <c r="O34" s="659"/>
      <c r="P34" s="659"/>
      <c r="Q34" s="659"/>
      <c r="R34" s="659"/>
      <c r="S34" s="659"/>
      <c r="T34" s="659"/>
      <c r="U34" s="659"/>
      <c r="V34" s="659"/>
      <c r="W34" s="659"/>
      <c r="X34" s="659"/>
      <c r="Y34" s="659"/>
      <c r="Z34" s="659"/>
      <c r="AA34" s="659"/>
      <c r="AB34" s="659"/>
      <c r="AC34" s="659"/>
      <c r="AD34" s="659"/>
      <c r="AE34" s="659"/>
      <c r="AF34" s="659"/>
      <c r="AG34" s="659"/>
      <c r="AH34" s="659"/>
      <c r="AI34" s="659"/>
      <c r="AJ34" s="659"/>
      <c r="AK34" s="659"/>
      <c r="AL34" s="659"/>
      <c r="AM34" s="659"/>
      <c r="AN34" s="659"/>
      <c r="AO34" s="659"/>
      <c r="AP34" s="659"/>
      <c r="AQ34" s="659"/>
      <c r="AR34" s="659"/>
      <c r="AS34" s="659"/>
      <c r="AT34" s="659"/>
      <c r="AU34" s="659"/>
    </row>
    <row r="35" spans="1:49" s="15" customFormat="1" ht="7.5" customHeight="1" outlineLevel="1" x14ac:dyDescent="0.25"/>
    <row r="36" spans="1:49" s="15" customFormat="1" ht="13.5" outlineLevel="1" x14ac:dyDescent="0.25">
      <c r="B36" s="715" t="s">
        <v>914</v>
      </c>
      <c r="C36" s="432">
        <v>2026</v>
      </c>
      <c r="D36" s="432">
        <f>C36+1</f>
        <v>2027</v>
      </c>
      <c r="E36" s="432">
        <f t="shared" ref="E36:AU36" si="0">D36+1</f>
        <v>2028</v>
      </c>
      <c r="F36" s="432">
        <f t="shared" si="0"/>
        <v>2029</v>
      </c>
      <c r="G36" s="432">
        <f t="shared" si="0"/>
        <v>2030</v>
      </c>
      <c r="H36" s="432">
        <f t="shared" si="0"/>
        <v>2031</v>
      </c>
      <c r="I36" s="432">
        <f t="shared" si="0"/>
        <v>2032</v>
      </c>
      <c r="J36" s="432">
        <f t="shared" si="0"/>
        <v>2033</v>
      </c>
      <c r="K36" s="432">
        <f t="shared" si="0"/>
        <v>2034</v>
      </c>
      <c r="L36" s="432">
        <f t="shared" si="0"/>
        <v>2035</v>
      </c>
      <c r="M36" s="432">
        <f t="shared" si="0"/>
        <v>2036</v>
      </c>
      <c r="N36" s="432">
        <f t="shared" si="0"/>
        <v>2037</v>
      </c>
      <c r="O36" s="432">
        <f t="shared" si="0"/>
        <v>2038</v>
      </c>
      <c r="P36" s="432">
        <f t="shared" si="0"/>
        <v>2039</v>
      </c>
      <c r="Q36" s="432">
        <f t="shared" si="0"/>
        <v>2040</v>
      </c>
      <c r="R36" s="432">
        <f t="shared" si="0"/>
        <v>2041</v>
      </c>
      <c r="S36" s="432">
        <f t="shared" si="0"/>
        <v>2042</v>
      </c>
      <c r="T36" s="432">
        <f t="shared" si="0"/>
        <v>2043</v>
      </c>
      <c r="U36" s="432">
        <f t="shared" si="0"/>
        <v>2044</v>
      </c>
      <c r="V36" s="432">
        <f t="shared" si="0"/>
        <v>2045</v>
      </c>
      <c r="W36" s="432">
        <f t="shared" si="0"/>
        <v>2046</v>
      </c>
      <c r="X36" s="432">
        <f t="shared" si="0"/>
        <v>2047</v>
      </c>
      <c r="Y36" s="432">
        <f t="shared" si="0"/>
        <v>2048</v>
      </c>
      <c r="Z36" s="432">
        <f t="shared" si="0"/>
        <v>2049</v>
      </c>
      <c r="AA36" s="432">
        <f t="shared" si="0"/>
        <v>2050</v>
      </c>
      <c r="AB36" s="432">
        <f t="shared" si="0"/>
        <v>2051</v>
      </c>
      <c r="AC36" s="432">
        <f t="shared" si="0"/>
        <v>2052</v>
      </c>
      <c r="AD36" s="432">
        <f t="shared" si="0"/>
        <v>2053</v>
      </c>
      <c r="AE36" s="432">
        <f t="shared" si="0"/>
        <v>2054</v>
      </c>
      <c r="AF36" s="432">
        <f t="shared" si="0"/>
        <v>2055</v>
      </c>
      <c r="AG36" s="432">
        <f t="shared" si="0"/>
        <v>2056</v>
      </c>
      <c r="AH36" s="432">
        <f t="shared" si="0"/>
        <v>2057</v>
      </c>
      <c r="AI36" s="432">
        <f t="shared" si="0"/>
        <v>2058</v>
      </c>
      <c r="AJ36" s="432">
        <f t="shared" si="0"/>
        <v>2059</v>
      </c>
      <c r="AK36" s="432">
        <f t="shared" si="0"/>
        <v>2060</v>
      </c>
      <c r="AL36" s="432">
        <f t="shared" si="0"/>
        <v>2061</v>
      </c>
      <c r="AM36" s="432">
        <f t="shared" si="0"/>
        <v>2062</v>
      </c>
      <c r="AN36" s="432">
        <f t="shared" si="0"/>
        <v>2063</v>
      </c>
      <c r="AO36" s="432">
        <f t="shared" si="0"/>
        <v>2064</v>
      </c>
      <c r="AP36" s="432">
        <f t="shared" si="0"/>
        <v>2065</v>
      </c>
      <c r="AQ36" s="432">
        <f t="shared" si="0"/>
        <v>2066</v>
      </c>
      <c r="AR36" s="432">
        <f t="shared" si="0"/>
        <v>2067</v>
      </c>
      <c r="AS36" s="432">
        <f t="shared" si="0"/>
        <v>2068</v>
      </c>
      <c r="AT36" s="432">
        <f t="shared" si="0"/>
        <v>2069</v>
      </c>
      <c r="AU36" s="716">
        <f t="shared" si="0"/>
        <v>2070</v>
      </c>
      <c r="AV36" s="39"/>
      <c r="AW36" s="39"/>
    </row>
    <row r="37" spans="1:49" s="15" customFormat="1" ht="13.5" outlineLevel="1" x14ac:dyDescent="0.25">
      <c r="B37" s="723" t="s">
        <v>1037</v>
      </c>
      <c r="C37" s="724">
        <f>IF(OR(C36&lt;$C$7,C36&gt;$C$8),0,1)</f>
        <v>1</v>
      </c>
      <c r="D37" s="724">
        <f t="shared" ref="D37:AU37" si="1">IF(OR(D36&lt;$C$7,D36&gt;$C$8),0,1)</f>
        <v>1</v>
      </c>
      <c r="E37" s="724">
        <f t="shared" si="1"/>
        <v>1</v>
      </c>
      <c r="F37" s="724">
        <f t="shared" si="1"/>
        <v>1</v>
      </c>
      <c r="G37" s="724">
        <f t="shared" si="1"/>
        <v>1</v>
      </c>
      <c r="H37" s="724">
        <f t="shared" si="1"/>
        <v>0</v>
      </c>
      <c r="I37" s="724">
        <f t="shared" si="1"/>
        <v>0</v>
      </c>
      <c r="J37" s="724">
        <f t="shared" si="1"/>
        <v>0</v>
      </c>
      <c r="K37" s="724">
        <f t="shared" si="1"/>
        <v>0</v>
      </c>
      <c r="L37" s="724">
        <f t="shared" si="1"/>
        <v>0</v>
      </c>
      <c r="M37" s="724">
        <f t="shared" si="1"/>
        <v>0</v>
      </c>
      <c r="N37" s="724">
        <f t="shared" si="1"/>
        <v>0</v>
      </c>
      <c r="O37" s="724">
        <f t="shared" si="1"/>
        <v>0</v>
      </c>
      <c r="P37" s="724">
        <f t="shared" si="1"/>
        <v>0</v>
      </c>
      <c r="Q37" s="724">
        <f t="shared" si="1"/>
        <v>0</v>
      </c>
      <c r="R37" s="724">
        <f t="shared" si="1"/>
        <v>0</v>
      </c>
      <c r="S37" s="724">
        <f t="shared" si="1"/>
        <v>0</v>
      </c>
      <c r="T37" s="724">
        <f t="shared" si="1"/>
        <v>0</v>
      </c>
      <c r="U37" s="724">
        <f t="shared" si="1"/>
        <v>0</v>
      </c>
      <c r="V37" s="724">
        <f t="shared" si="1"/>
        <v>0</v>
      </c>
      <c r="W37" s="724">
        <f t="shared" si="1"/>
        <v>0</v>
      </c>
      <c r="X37" s="724">
        <f t="shared" si="1"/>
        <v>0</v>
      </c>
      <c r="Y37" s="724">
        <f t="shared" si="1"/>
        <v>0</v>
      </c>
      <c r="Z37" s="724">
        <f t="shared" si="1"/>
        <v>0</v>
      </c>
      <c r="AA37" s="724">
        <f t="shared" si="1"/>
        <v>0</v>
      </c>
      <c r="AB37" s="724">
        <f t="shared" si="1"/>
        <v>0</v>
      </c>
      <c r="AC37" s="724">
        <f t="shared" si="1"/>
        <v>0</v>
      </c>
      <c r="AD37" s="724">
        <f t="shared" si="1"/>
        <v>0</v>
      </c>
      <c r="AE37" s="724">
        <f t="shared" si="1"/>
        <v>0</v>
      </c>
      <c r="AF37" s="724">
        <f t="shared" si="1"/>
        <v>0</v>
      </c>
      <c r="AG37" s="724">
        <f t="shared" si="1"/>
        <v>0</v>
      </c>
      <c r="AH37" s="724">
        <f t="shared" si="1"/>
        <v>0</v>
      </c>
      <c r="AI37" s="724">
        <f t="shared" si="1"/>
        <v>0</v>
      </c>
      <c r="AJ37" s="724">
        <f t="shared" si="1"/>
        <v>0</v>
      </c>
      <c r="AK37" s="724">
        <f t="shared" si="1"/>
        <v>0</v>
      </c>
      <c r="AL37" s="724">
        <f t="shared" si="1"/>
        <v>0</v>
      </c>
      <c r="AM37" s="724">
        <f t="shared" si="1"/>
        <v>0</v>
      </c>
      <c r="AN37" s="724">
        <f t="shared" si="1"/>
        <v>0</v>
      </c>
      <c r="AO37" s="724">
        <f t="shared" si="1"/>
        <v>0</v>
      </c>
      <c r="AP37" s="724">
        <f t="shared" si="1"/>
        <v>0</v>
      </c>
      <c r="AQ37" s="724">
        <f t="shared" si="1"/>
        <v>0</v>
      </c>
      <c r="AR37" s="724">
        <f t="shared" si="1"/>
        <v>0</v>
      </c>
      <c r="AS37" s="724">
        <f t="shared" si="1"/>
        <v>0</v>
      </c>
      <c r="AT37" s="724">
        <f t="shared" si="1"/>
        <v>0</v>
      </c>
      <c r="AU37" s="725">
        <f t="shared" si="1"/>
        <v>0</v>
      </c>
    </row>
    <row r="38" spans="1:49" s="15" customFormat="1" ht="13.5" outlineLevel="1" x14ac:dyDescent="0.25">
      <c r="B38" s="715" t="s">
        <v>1111</v>
      </c>
      <c r="C38" s="720">
        <v>0</v>
      </c>
      <c r="D38" s="720">
        <v>0</v>
      </c>
      <c r="E38" s="720">
        <v>0</v>
      </c>
      <c r="F38" s="720">
        <v>0</v>
      </c>
      <c r="G38" s="720">
        <v>0</v>
      </c>
      <c r="H38" s="720">
        <v>0</v>
      </c>
      <c r="I38" s="720">
        <v>0</v>
      </c>
      <c r="J38" s="720">
        <v>0</v>
      </c>
      <c r="K38" s="720">
        <v>0</v>
      </c>
      <c r="L38" s="720">
        <v>0</v>
      </c>
      <c r="M38" s="720">
        <v>0</v>
      </c>
      <c r="N38" s="720">
        <v>0</v>
      </c>
      <c r="O38" s="720">
        <v>0</v>
      </c>
      <c r="P38" s="720">
        <v>0</v>
      </c>
      <c r="Q38" s="720">
        <v>0</v>
      </c>
      <c r="R38" s="720">
        <v>0</v>
      </c>
      <c r="S38" s="720">
        <v>0</v>
      </c>
      <c r="T38" s="720">
        <v>0</v>
      </c>
      <c r="U38" s="720">
        <v>0</v>
      </c>
      <c r="V38" s="720">
        <v>0</v>
      </c>
      <c r="W38" s="720">
        <v>0</v>
      </c>
      <c r="X38" s="720">
        <v>0</v>
      </c>
      <c r="Y38" s="720">
        <v>0</v>
      </c>
      <c r="Z38" s="720">
        <v>0</v>
      </c>
      <c r="AA38" s="720">
        <v>0</v>
      </c>
      <c r="AB38" s="720">
        <v>0</v>
      </c>
      <c r="AC38" s="720">
        <v>0</v>
      </c>
      <c r="AD38" s="720">
        <v>0</v>
      </c>
      <c r="AE38" s="720">
        <v>0</v>
      </c>
      <c r="AF38" s="720">
        <v>0</v>
      </c>
      <c r="AG38" s="720">
        <v>0</v>
      </c>
      <c r="AH38" s="720">
        <v>0</v>
      </c>
      <c r="AI38" s="720">
        <v>0</v>
      </c>
      <c r="AJ38" s="720">
        <v>0</v>
      </c>
      <c r="AK38" s="720">
        <v>0</v>
      </c>
      <c r="AL38" s="720">
        <v>0</v>
      </c>
      <c r="AM38" s="720">
        <v>0</v>
      </c>
      <c r="AN38" s="720">
        <v>0</v>
      </c>
      <c r="AO38" s="720">
        <v>0</v>
      </c>
      <c r="AP38" s="720">
        <v>0</v>
      </c>
      <c r="AQ38" s="720">
        <v>0</v>
      </c>
      <c r="AR38" s="720">
        <v>0</v>
      </c>
      <c r="AS38" s="720">
        <v>0</v>
      </c>
      <c r="AT38" s="720">
        <v>0</v>
      </c>
      <c r="AU38" s="721">
        <v>0</v>
      </c>
    </row>
    <row r="39" spans="1:49" s="15" customFormat="1" ht="13.5" outlineLevel="1" x14ac:dyDescent="0.25">
      <c r="B39" s="431" t="s">
        <v>1096</v>
      </c>
      <c r="C39" s="717">
        <v>0</v>
      </c>
      <c r="D39" s="717">
        <v>0</v>
      </c>
      <c r="E39" s="717">
        <v>0</v>
      </c>
      <c r="F39" s="717">
        <v>0</v>
      </c>
      <c r="G39" s="717">
        <v>0</v>
      </c>
      <c r="H39" s="717">
        <v>0</v>
      </c>
      <c r="I39" s="717">
        <v>0</v>
      </c>
      <c r="J39" s="717">
        <v>0</v>
      </c>
      <c r="K39" s="717">
        <v>0</v>
      </c>
      <c r="L39" s="717">
        <v>0</v>
      </c>
      <c r="M39" s="717">
        <v>0</v>
      </c>
      <c r="N39" s="717">
        <v>0</v>
      </c>
      <c r="O39" s="717">
        <v>0</v>
      </c>
      <c r="P39" s="717">
        <v>0</v>
      </c>
      <c r="Q39" s="717">
        <v>0</v>
      </c>
      <c r="R39" s="717">
        <v>0</v>
      </c>
      <c r="S39" s="717">
        <v>0</v>
      </c>
      <c r="T39" s="717">
        <v>0</v>
      </c>
      <c r="U39" s="717">
        <v>0</v>
      </c>
      <c r="V39" s="717">
        <v>0</v>
      </c>
      <c r="W39" s="717">
        <v>0</v>
      </c>
      <c r="X39" s="717">
        <v>0</v>
      </c>
      <c r="Y39" s="717">
        <v>0</v>
      </c>
      <c r="Z39" s="717">
        <v>0</v>
      </c>
      <c r="AA39" s="717">
        <v>0</v>
      </c>
      <c r="AB39" s="717">
        <v>0</v>
      </c>
      <c r="AC39" s="717">
        <v>0</v>
      </c>
      <c r="AD39" s="717">
        <v>0</v>
      </c>
      <c r="AE39" s="717">
        <v>0</v>
      </c>
      <c r="AF39" s="717">
        <v>0</v>
      </c>
      <c r="AG39" s="717">
        <v>0</v>
      </c>
      <c r="AH39" s="717">
        <v>0</v>
      </c>
      <c r="AI39" s="717">
        <v>0</v>
      </c>
      <c r="AJ39" s="717">
        <v>0</v>
      </c>
      <c r="AK39" s="717">
        <v>0</v>
      </c>
      <c r="AL39" s="717">
        <v>0</v>
      </c>
      <c r="AM39" s="717">
        <v>0</v>
      </c>
      <c r="AN39" s="717">
        <v>0</v>
      </c>
      <c r="AO39" s="717">
        <v>0</v>
      </c>
      <c r="AP39" s="717">
        <v>0</v>
      </c>
      <c r="AQ39" s="717">
        <v>0</v>
      </c>
      <c r="AR39" s="717">
        <v>0</v>
      </c>
      <c r="AS39" s="717">
        <v>0</v>
      </c>
      <c r="AT39" s="717">
        <v>0</v>
      </c>
      <c r="AU39" s="718">
        <v>0</v>
      </c>
    </row>
    <row r="40" spans="1:49" s="15" customFormat="1" ht="13.5" outlineLevel="1" x14ac:dyDescent="0.25">
      <c r="B40" s="723" t="s">
        <v>1112</v>
      </c>
      <c r="C40" s="724">
        <f t="shared" ref="C40:AU40" si="2">IF(C36&gt;$C$8,$C$13*$C$15,0)</f>
        <v>0</v>
      </c>
      <c r="D40" s="724">
        <f t="shared" si="2"/>
        <v>0</v>
      </c>
      <c r="E40" s="724">
        <f t="shared" si="2"/>
        <v>0</v>
      </c>
      <c r="F40" s="724">
        <f t="shared" si="2"/>
        <v>0</v>
      </c>
      <c r="G40" s="724">
        <f t="shared" si="2"/>
        <v>0</v>
      </c>
      <c r="H40" s="724">
        <f t="shared" si="2"/>
        <v>17762</v>
      </c>
      <c r="I40" s="724">
        <f t="shared" si="2"/>
        <v>17762</v>
      </c>
      <c r="J40" s="724">
        <f t="shared" si="2"/>
        <v>17762</v>
      </c>
      <c r="K40" s="724">
        <f t="shared" si="2"/>
        <v>17762</v>
      </c>
      <c r="L40" s="724">
        <f t="shared" si="2"/>
        <v>17762</v>
      </c>
      <c r="M40" s="724">
        <f t="shared" si="2"/>
        <v>17762</v>
      </c>
      <c r="N40" s="724">
        <f t="shared" si="2"/>
        <v>17762</v>
      </c>
      <c r="O40" s="724">
        <f t="shared" si="2"/>
        <v>17762</v>
      </c>
      <c r="P40" s="724">
        <f t="shared" si="2"/>
        <v>17762</v>
      </c>
      <c r="Q40" s="724">
        <f t="shared" si="2"/>
        <v>17762</v>
      </c>
      <c r="R40" s="724">
        <f t="shared" si="2"/>
        <v>17762</v>
      </c>
      <c r="S40" s="724">
        <f t="shared" si="2"/>
        <v>17762</v>
      </c>
      <c r="T40" s="724">
        <f t="shared" si="2"/>
        <v>17762</v>
      </c>
      <c r="U40" s="724">
        <f t="shared" si="2"/>
        <v>17762</v>
      </c>
      <c r="V40" s="724">
        <f t="shared" si="2"/>
        <v>17762</v>
      </c>
      <c r="W40" s="724">
        <f t="shared" si="2"/>
        <v>17762</v>
      </c>
      <c r="X40" s="724">
        <f t="shared" si="2"/>
        <v>17762</v>
      </c>
      <c r="Y40" s="724">
        <f t="shared" si="2"/>
        <v>17762</v>
      </c>
      <c r="Z40" s="724">
        <f t="shared" si="2"/>
        <v>17762</v>
      </c>
      <c r="AA40" s="724">
        <f t="shared" si="2"/>
        <v>17762</v>
      </c>
      <c r="AB40" s="724">
        <f t="shared" si="2"/>
        <v>17762</v>
      </c>
      <c r="AC40" s="724">
        <f t="shared" si="2"/>
        <v>17762</v>
      </c>
      <c r="AD40" s="724">
        <f t="shared" si="2"/>
        <v>17762</v>
      </c>
      <c r="AE40" s="724">
        <f t="shared" si="2"/>
        <v>17762</v>
      </c>
      <c r="AF40" s="724">
        <f t="shared" si="2"/>
        <v>17762</v>
      </c>
      <c r="AG40" s="724">
        <f t="shared" si="2"/>
        <v>17762</v>
      </c>
      <c r="AH40" s="724">
        <f t="shared" si="2"/>
        <v>17762</v>
      </c>
      <c r="AI40" s="724">
        <f t="shared" si="2"/>
        <v>17762</v>
      </c>
      <c r="AJ40" s="724">
        <f t="shared" si="2"/>
        <v>17762</v>
      </c>
      <c r="AK40" s="724">
        <f t="shared" si="2"/>
        <v>17762</v>
      </c>
      <c r="AL40" s="724">
        <f t="shared" si="2"/>
        <v>17762</v>
      </c>
      <c r="AM40" s="724">
        <f t="shared" si="2"/>
        <v>17762</v>
      </c>
      <c r="AN40" s="724">
        <f t="shared" si="2"/>
        <v>17762</v>
      </c>
      <c r="AO40" s="724">
        <f t="shared" si="2"/>
        <v>17762</v>
      </c>
      <c r="AP40" s="724">
        <f t="shared" si="2"/>
        <v>17762</v>
      </c>
      <c r="AQ40" s="724">
        <f t="shared" si="2"/>
        <v>17762</v>
      </c>
      <c r="AR40" s="724">
        <f t="shared" si="2"/>
        <v>17762</v>
      </c>
      <c r="AS40" s="724">
        <f t="shared" si="2"/>
        <v>17762</v>
      </c>
      <c r="AT40" s="724">
        <f t="shared" si="2"/>
        <v>17762</v>
      </c>
      <c r="AU40" s="725">
        <f t="shared" si="2"/>
        <v>17762</v>
      </c>
    </row>
    <row r="41" spans="1:49" s="15" customFormat="1" ht="13.5" outlineLevel="1" x14ac:dyDescent="0.25">
      <c r="B41" s="723" t="s">
        <v>1113</v>
      </c>
      <c r="C41" s="724">
        <f t="shared" ref="C41:AU41" si="3">IF(C36&gt;$C$8,$C$14*$C$15,0)</f>
        <v>0</v>
      </c>
      <c r="D41" s="724">
        <f t="shared" si="3"/>
        <v>0</v>
      </c>
      <c r="E41" s="724">
        <f t="shared" si="3"/>
        <v>0</v>
      </c>
      <c r="F41" s="724">
        <f t="shared" si="3"/>
        <v>0</v>
      </c>
      <c r="G41" s="724">
        <f t="shared" si="3"/>
        <v>0</v>
      </c>
      <c r="H41" s="724">
        <f t="shared" si="3"/>
        <v>1320</v>
      </c>
      <c r="I41" s="724">
        <f t="shared" si="3"/>
        <v>1320</v>
      </c>
      <c r="J41" s="724">
        <f t="shared" si="3"/>
        <v>1320</v>
      </c>
      <c r="K41" s="724">
        <f t="shared" si="3"/>
        <v>1320</v>
      </c>
      <c r="L41" s="724">
        <f t="shared" si="3"/>
        <v>1320</v>
      </c>
      <c r="M41" s="724">
        <f t="shared" si="3"/>
        <v>1320</v>
      </c>
      <c r="N41" s="724">
        <f t="shared" si="3"/>
        <v>1320</v>
      </c>
      <c r="O41" s="724">
        <f t="shared" si="3"/>
        <v>1320</v>
      </c>
      <c r="P41" s="724">
        <f t="shared" si="3"/>
        <v>1320</v>
      </c>
      <c r="Q41" s="724">
        <f t="shared" si="3"/>
        <v>1320</v>
      </c>
      <c r="R41" s="724">
        <f t="shared" si="3"/>
        <v>1320</v>
      </c>
      <c r="S41" s="724">
        <f t="shared" si="3"/>
        <v>1320</v>
      </c>
      <c r="T41" s="724">
        <f t="shared" si="3"/>
        <v>1320</v>
      </c>
      <c r="U41" s="724">
        <f t="shared" si="3"/>
        <v>1320</v>
      </c>
      <c r="V41" s="724">
        <f t="shared" si="3"/>
        <v>1320</v>
      </c>
      <c r="W41" s="724">
        <f t="shared" si="3"/>
        <v>1320</v>
      </c>
      <c r="X41" s="724">
        <f t="shared" si="3"/>
        <v>1320</v>
      </c>
      <c r="Y41" s="724">
        <f t="shared" si="3"/>
        <v>1320</v>
      </c>
      <c r="Z41" s="724">
        <f t="shared" si="3"/>
        <v>1320</v>
      </c>
      <c r="AA41" s="724">
        <f t="shared" si="3"/>
        <v>1320</v>
      </c>
      <c r="AB41" s="724">
        <f t="shared" si="3"/>
        <v>1320</v>
      </c>
      <c r="AC41" s="724">
        <f t="shared" si="3"/>
        <v>1320</v>
      </c>
      <c r="AD41" s="724">
        <f t="shared" si="3"/>
        <v>1320</v>
      </c>
      <c r="AE41" s="724">
        <f t="shared" si="3"/>
        <v>1320</v>
      </c>
      <c r="AF41" s="724">
        <f t="shared" si="3"/>
        <v>1320</v>
      </c>
      <c r="AG41" s="724">
        <f t="shared" si="3"/>
        <v>1320</v>
      </c>
      <c r="AH41" s="724">
        <f t="shared" si="3"/>
        <v>1320</v>
      </c>
      <c r="AI41" s="724">
        <f t="shared" si="3"/>
        <v>1320</v>
      </c>
      <c r="AJ41" s="724">
        <f t="shared" si="3"/>
        <v>1320</v>
      </c>
      <c r="AK41" s="724">
        <f t="shared" si="3"/>
        <v>1320</v>
      </c>
      <c r="AL41" s="724">
        <f t="shared" si="3"/>
        <v>1320</v>
      </c>
      <c r="AM41" s="724">
        <f t="shared" si="3"/>
        <v>1320</v>
      </c>
      <c r="AN41" s="724">
        <f t="shared" si="3"/>
        <v>1320</v>
      </c>
      <c r="AO41" s="724">
        <f t="shared" si="3"/>
        <v>1320</v>
      </c>
      <c r="AP41" s="724">
        <f t="shared" si="3"/>
        <v>1320</v>
      </c>
      <c r="AQ41" s="724">
        <f t="shared" si="3"/>
        <v>1320</v>
      </c>
      <c r="AR41" s="724">
        <f t="shared" si="3"/>
        <v>1320</v>
      </c>
      <c r="AS41" s="724">
        <f t="shared" si="3"/>
        <v>1320</v>
      </c>
      <c r="AT41" s="724">
        <f t="shared" si="3"/>
        <v>1320</v>
      </c>
      <c r="AU41" s="725">
        <f t="shared" si="3"/>
        <v>1320</v>
      </c>
    </row>
    <row r="42" spans="1:49" s="15" customFormat="1" ht="13.5" outlineLevel="1" x14ac:dyDescent="0.25">
      <c r="B42" s="715" t="s">
        <v>1114</v>
      </c>
      <c r="C42" s="720">
        <f>C38+C40</f>
        <v>0</v>
      </c>
      <c r="D42" s="720">
        <f t="shared" ref="D42:AU42" si="4">D38+D40</f>
        <v>0</v>
      </c>
      <c r="E42" s="720">
        <f t="shared" si="4"/>
        <v>0</v>
      </c>
      <c r="F42" s="720">
        <f t="shared" si="4"/>
        <v>0</v>
      </c>
      <c r="G42" s="720">
        <f t="shared" si="4"/>
        <v>0</v>
      </c>
      <c r="H42" s="720">
        <f t="shared" si="4"/>
        <v>17762</v>
      </c>
      <c r="I42" s="720">
        <f t="shared" si="4"/>
        <v>17762</v>
      </c>
      <c r="J42" s="720">
        <f t="shared" si="4"/>
        <v>17762</v>
      </c>
      <c r="K42" s="720">
        <f t="shared" si="4"/>
        <v>17762</v>
      </c>
      <c r="L42" s="720">
        <f t="shared" si="4"/>
        <v>17762</v>
      </c>
      <c r="M42" s="720">
        <f t="shared" si="4"/>
        <v>17762</v>
      </c>
      <c r="N42" s="720">
        <f t="shared" si="4"/>
        <v>17762</v>
      </c>
      <c r="O42" s="720">
        <f t="shared" si="4"/>
        <v>17762</v>
      </c>
      <c r="P42" s="720">
        <f t="shared" si="4"/>
        <v>17762</v>
      </c>
      <c r="Q42" s="720">
        <f t="shared" si="4"/>
        <v>17762</v>
      </c>
      <c r="R42" s="720">
        <f t="shared" si="4"/>
        <v>17762</v>
      </c>
      <c r="S42" s="720">
        <f t="shared" si="4"/>
        <v>17762</v>
      </c>
      <c r="T42" s="720">
        <f t="shared" si="4"/>
        <v>17762</v>
      </c>
      <c r="U42" s="720">
        <f t="shared" si="4"/>
        <v>17762</v>
      </c>
      <c r="V42" s="720">
        <f t="shared" si="4"/>
        <v>17762</v>
      </c>
      <c r="W42" s="720">
        <f t="shared" si="4"/>
        <v>17762</v>
      </c>
      <c r="X42" s="720">
        <f t="shared" si="4"/>
        <v>17762</v>
      </c>
      <c r="Y42" s="720">
        <f t="shared" si="4"/>
        <v>17762</v>
      </c>
      <c r="Z42" s="720">
        <f t="shared" si="4"/>
        <v>17762</v>
      </c>
      <c r="AA42" s="720">
        <f t="shared" si="4"/>
        <v>17762</v>
      </c>
      <c r="AB42" s="720">
        <f t="shared" si="4"/>
        <v>17762</v>
      </c>
      <c r="AC42" s="720">
        <f t="shared" si="4"/>
        <v>17762</v>
      </c>
      <c r="AD42" s="720">
        <f t="shared" si="4"/>
        <v>17762</v>
      </c>
      <c r="AE42" s="720">
        <f t="shared" si="4"/>
        <v>17762</v>
      </c>
      <c r="AF42" s="720">
        <f t="shared" si="4"/>
        <v>17762</v>
      </c>
      <c r="AG42" s="720">
        <f t="shared" si="4"/>
        <v>17762</v>
      </c>
      <c r="AH42" s="720">
        <f t="shared" si="4"/>
        <v>17762</v>
      </c>
      <c r="AI42" s="720">
        <f t="shared" si="4"/>
        <v>17762</v>
      </c>
      <c r="AJ42" s="720">
        <f t="shared" si="4"/>
        <v>17762</v>
      </c>
      <c r="AK42" s="720">
        <f t="shared" si="4"/>
        <v>17762</v>
      </c>
      <c r="AL42" s="720">
        <f t="shared" si="4"/>
        <v>17762</v>
      </c>
      <c r="AM42" s="720">
        <f t="shared" si="4"/>
        <v>17762</v>
      </c>
      <c r="AN42" s="720">
        <f t="shared" si="4"/>
        <v>17762</v>
      </c>
      <c r="AO42" s="720">
        <f t="shared" si="4"/>
        <v>17762</v>
      </c>
      <c r="AP42" s="720">
        <f t="shared" si="4"/>
        <v>17762</v>
      </c>
      <c r="AQ42" s="720">
        <f t="shared" si="4"/>
        <v>17762</v>
      </c>
      <c r="AR42" s="720">
        <f t="shared" si="4"/>
        <v>17762</v>
      </c>
      <c r="AS42" s="720">
        <f t="shared" si="4"/>
        <v>17762</v>
      </c>
      <c r="AT42" s="720">
        <f t="shared" si="4"/>
        <v>17762</v>
      </c>
      <c r="AU42" s="721">
        <f t="shared" si="4"/>
        <v>17762</v>
      </c>
    </row>
    <row r="43" spans="1:49" s="15" customFormat="1" ht="13.5" outlineLevel="1" x14ac:dyDescent="0.25">
      <c r="B43" s="722" t="s">
        <v>1115</v>
      </c>
      <c r="C43" s="717">
        <f>C41+C39</f>
        <v>0</v>
      </c>
      <c r="D43" s="717">
        <f t="shared" ref="D43:AU43" si="5">D41+D39</f>
        <v>0</v>
      </c>
      <c r="E43" s="717">
        <f t="shared" si="5"/>
        <v>0</v>
      </c>
      <c r="F43" s="717">
        <f t="shared" si="5"/>
        <v>0</v>
      </c>
      <c r="G43" s="717">
        <f t="shared" si="5"/>
        <v>0</v>
      </c>
      <c r="H43" s="717">
        <f t="shared" si="5"/>
        <v>1320</v>
      </c>
      <c r="I43" s="717">
        <f t="shared" si="5"/>
        <v>1320</v>
      </c>
      <c r="J43" s="717">
        <f t="shared" si="5"/>
        <v>1320</v>
      </c>
      <c r="K43" s="717">
        <f t="shared" si="5"/>
        <v>1320</v>
      </c>
      <c r="L43" s="717">
        <f t="shared" si="5"/>
        <v>1320</v>
      </c>
      <c r="M43" s="717">
        <f t="shared" si="5"/>
        <v>1320</v>
      </c>
      <c r="N43" s="717">
        <f t="shared" si="5"/>
        <v>1320</v>
      </c>
      <c r="O43" s="717">
        <f t="shared" si="5"/>
        <v>1320</v>
      </c>
      <c r="P43" s="717">
        <f t="shared" si="5"/>
        <v>1320</v>
      </c>
      <c r="Q43" s="717">
        <f t="shared" si="5"/>
        <v>1320</v>
      </c>
      <c r="R43" s="717">
        <f t="shared" si="5"/>
        <v>1320</v>
      </c>
      <c r="S43" s="717">
        <f t="shared" si="5"/>
        <v>1320</v>
      </c>
      <c r="T43" s="717">
        <f t="shared" si="5"/>
        <v>1320</v>
      </c>
      <c r="U43" s="717">
        <f t="shared" si="5"/>
        <v>1320</v>
      </c>
      <c r="V43" s="717">
        <f t="shared" si="5"/>
        <v>1320</v>
      </c>
      <c r="W43" s="717">
        <f t="shared" si="5"/>
        <v>1320</v>
      </c>
      <c r="X43" s="717">
        <f t="shared" si="5"/>
        <v>1320</v>
      </c>
      <c r="Y43" s="717">
        <f t="shared" si="5"/>
        <v>1320</v>
      </c>
      <c r="Z43" s="717">
        <f t="shared" si="5"/>
        <v>1320</v>
      </c>
      <c r="AA43" s="717">
        <f t="shared" si="5"/>
        <v>1320</v>
      </c>
      <c r="AB43" s="717">
        <f t="shared" si="5"/>
        <v>1320</v>
      </c>
      <c r="AC43" s="717">
        <f t="shared" si="5"/>
        <v>1320</v>
      </c>
      <c r="AD43" s="717">
        <f t="shared" si="5"/>
        <v>1320</v>
      </c>
      <c r="AE43" s="717">
        <f t="shared" si="5"/>
        <v>1320</v>
      </c>
      <c r="AF43" s="717">
        <f t="shared" si="5"/>
        <v>1320</v>
      </c>
      <c r="AG43" s="717">
        <f t="shared" si="5"/>
        <v>1320</v>
      </c>
      <c r="AH43" s="717">
        <f t="shared" si="5"/>
        <v>1320</v>
      </c>
      <c r="AI43" s="717">
        <f t="shared" si="5"/>
        <v>1320</v>
      </c>
      <c r="AJ43" s="717">
        <f t="shared" si="5"/>
        <v>1320</v>
      </c>
      <c r="AK43" s="717">
        <f t="shared" si="5"/>
        <v>1320</v>
      </c>
      <c r="AL43" s="717">
        <f t="shared" si="5"/>
        <v>1320</v>
      </c>
      <c r="AM43" s="717">
        <f t="shared" si="5"/>
        <v>1320</v>
      </c>
      <c r="AN43" s="717">
        <f t="shared" si="5"/>
        <v>1320</v>
      </c>
      <c r="AO43" s="717">
        <f t="shared" si="5"/>
        <v>1320</v>
      </c>
      <c r="AP43" s="717">
        <f t="shared" si="5"/>
        <v>1320</v>
      </c>
      <c r="AQ43" s="717">
        <f t="shared" si="5"/>
        <v>1320</v>
      </c>
      <c r="AR43" s="717">
        <f t="shared" si="5"/>
        <v>1320</v>
      </c>
      <c r="AS43" s="717">
        <f t="shared" si="5"/>
        <v>1320</v>
      </c>
      <c r="AT43" s="717">
        <f t="shared" si="5"/>
        <v>1320</v>
      </c>
      <c r="AU43" s="718">
        <f t="shared" si="5"/>
        <v>1320</v>
      </c>
    </row>
    <row r="44" spans="1:49" s="15" customFormat="1" ht="13.5" outlineLevel="1" x14ac:dyDescent="0.25">
      <c r="B44" s="431" t="s">
        <v>1100</v>
      </c>
      <c r="C44" s="791">
        <f>C11</f>
        <v>5.9700000000000003E-2</v>
      </c>
      <c r="D44" s="791">
        <f t="shared" ref="D44:AU44" si="6">IF(D36&gt;$C$8-1,$C$12,C44-($C$44-$C$12)/($C$8-$C$7))</f>
        <v>4.4775000000000002E-2</v>
      </c>
      <c r="E44" s="791">
        <f t="shared" si="6"/>
        <v>2.9850000000000002E-2</v>
      </c>
      <c r="F44" s="791">
        <f t="shared" si="6"/>
        <v>1.4925000000000001E-2</v>
      </c>
      <c r="G44" s="791">
        <f t="shared" si="6"/>
        <v>0</v>
      </c>
      <c r="H44" s="791">
        <f t="shared" si="6"/>
        <v>0</v>
      </c>
      <c r="I44" s="791">
        <f t="shared" si="6"/>
        <v>0</v>
      </c>
      <c r="J44" s="791">
        <f t="shared" si="6"/>
        <v>0</v>
      </c>
      <c r="K44" s="791">
        <f t="shared" si="6"/>
        <v>0</v>
      </c>
      <c r="L44" s="791">
        <f t="shared" si="6"/>
        <v>0</v>
      </c>
      <c r="M44" s="791">
        <f t="shared" si="6"/>
        <v>0</v>
      </c>
      <c r="N44" s="791">
        <f t="shared" si="6"/>
        <v>0</v>
      </c>
      <c r="O44" s="791">
        <f t="shared" si="6"/>
        <v>0</v>
      </c>
      <c r="P44" s="791">
        <f t="shared" si="6"/>
        <v>0</v>
      </c>
      <c r="Q44" s="791">
        <f t="shared" si="6"/>
        <v>0</v>
      </c>
      <c r="R44" s="791">
        <f t="shared" si="6"/>
        <v>0</v>
      </c>
      <c r="S44" s="791">
        <f t="shared" si="6"/>
        <v>0</v>
      </c>
      <c r="T44" s="791">
        <f t="shared" si="6"/>
        <v>0</v>
      </c>
      <c r="U44" s="791">
        <f t="shared" si="6"/>
        <v>0</v>
      </c>
      <c r="V44" s="791">
        <f t="shared" si="6"/>
        <v>0</v>
      </c>
      <c r="W44" s="791">
        <f t="shared" si="6"/>
        <v>0</v>
      </c>
      <c r="X44" s="791">
        <f t="shared" si="6"/>
        <v>0</v>
      </c>
      <c r="Y44" s="791">
        <f t="shared" si="6"/>
        <v>0</v>
      </c>
      <c r="Z44" s="791">
        <f t="shared" si="6"/>
        <v>0</v>
      </c>
      <c r="AA44" s="791">
        <f t="shared" si="6"/>
        <v>0</v>
      </c>
      <c r="AB44" s="791">
        <f t="shared" si="6"/>
        <v>0</v>
      </c>
      <c r="AC44" s="791">
        <f t="shared" si="6"/>
        <v>0</v>
      </c>
      <c r="AD44" s="791">
        <f t="shared" si="6"/>
        <v>0</v>
      </c>
      <c r="AE44" s="791">
        <f t="shared" si="6"/>
        <v>0</v>
      </c>
      <c r="AF44" s="791">
        <f t="shared" si="6"/>
        <v>0</v>
      </c>
      <c r="AG44" s="791">
        <f t="shared" si="6"/>
        <v>0</v>
      </c>
      <c r="AH44" s="791">
        <f t="shared" si="6"/>
        <v>0</v>
      </c>
      <c r="AI44" s="791">
        <f t="shared" si="6"/>
        <v>0</v>
      </c>
      <c r="AJ44" s="791">
        <f t="shared" si="6"/>
        <v>0</v>
      </c>
      <c r="AK44" s="791">
        <f t="shared" si="6"/>
        <v>0</v>
      </c>
      <c r="AL44" s="791">
        <f t="shared" si="6"/>
        <v>0</v>
      </c>
      <c r="AM44" s="791">
        <f t="shared" si="6"/>
        <v>0</v>
      </c>
      <c r="AN44" s="791">
        <f t="shared" si="6"/>
        <v>0</v>
      </c>
      <c r="AO44" s="791">
        <f t="shared" si="6"/>
        <v>0</v>
      </c>
      <c r="AP44" s="791">
        <f t="shared" si="6"/>
        <v>0</v>
      </c>
      <c r="AQ44" s="791">
        <f t="shared" si="6"/>
        <v>0</v>
      </c>
      <c r="AR44" s="791">
        <f t="shared" si="6"/>
        <v>0</v>
      </c>
      <c r="AS44" s="791">
        <f t="shared" si="6"/>
        <v>0</v>
      </c>
      <c r="AT44" s="791">
        <f t="shared" si="6"/>
        <v>0</v>
      </c>
      <c r="AU44" s="792">
        <f t="shared" si="6"/>
        <v>0</v>
      </c>
    </row>
    <row r="45" spans="1:49" s="39" customFormat="1" ht="13.5" outlineLevel="1" x14ac:dyDescent="0.25">
      <c r="B45" s="696" t="s">
        <v>931</v>
      </c>
      <c r="C45" s="710">
        <f>$C$13*($C$10-C44)*1000</f>
        <v>96447.66</v>
      </c>
      <c r="D45" s="710">
        <f t="shared" ref="D45:AU45" si="7">$C$13*($C$10-D44)*1000</f>
        <v>122957.44500000001</v>
      </c>
      <c r="E45" s="710">
        <f t="shared" si="7"/>
        <v>149467.23000000001</v>
      </c>
      <c r="F45" s="710">
        <f t="shared" si="7"/>
        <v>175977.01499999996</v>
      </c>
      <c r="G45" s="710">
        <f t="shared" si="7"/>
        <v>202486.8</v>
      </c>
      <c r="H45" s="710">
        <f t="shared" si="7"/>
        <v>202486.8</v>
      </c>
      <c r="I45" s="710">
        <f t="shared" si="7"/>
        <v>202486.8</v>
      </c>
      <c r="J45" s="710">
        <f t="shared" si="7"/>
        <v>202486.8</v>
      </c>
      <c r="K45" s="710">
        <f t="shared" si="7"/>
        <v>202486.8</v>
      </c>
      <c r="L45" s="710">
        <f t="shared" si="7"/>
        <v>202486.8</v>
      </c>
      <c r="M45" s="710">
        <f t="shared" si="7"/>
        <v>202486.8</v>
      </c>
      <c r="N45" s="710">
        <f t="shared" si="7"/>
        <v>202486.8</v>
      </c>
      <c r="O45" s="710">
        <f t="shared" si="7"/>
        <v>202486.8</v>
      </c>
      <c r="P45" s="710">
        <f t="shared" si="7"/>
        <v>202486.8</v>
      </c>
      <c r="Q45" s="710">
        <f t="shared" si="7"/>
        <v>202486.8</v>
      </c>
      <c r="R45" s="710">
        <f t="shared" si="7"/>
        <v>202486.8</v>
      </c>
      <c r="S45" s="710">
        <f t="shared" si="7"/>
        <v>202486.8</v>
      </c>
      <c r="T45" s="710">
        <f t="shared" si="7"/>
        <v>202486.8</v>
      </c>
      <c r="U45" s="710">
        <f t="shared" si="7"/>
        <v>202486.8</v>
      </c>
      <c r="V45" s="710">
        <f t="shared" si="7"/>
        <v>202486.8</v>
      </c>
      <c r="W45" s="710">
        <f t="shared" si="7"/>
        <v>202486.8</v>
      </c>
      <c r="X45" s="710">
        <f t="shared" si="7"/>
        <v>202486.8</v>
      </c>
      <c r="Y45" s="710">
        <f t="shared" si="7"/>
        <v>202486.8</v>
      </c>
      <c r="Z45" s="710">
        <f t="shared" si="7"/>
        <v>202486.8</v>
      </c>
      <c r="AA45" s="710">
        <f t="shared" si="7"/>
        <v>202486.8</v>
      </c>
      <c r="AB45" s="710">
        <f t="shared" si="7"/>
        <v>202486.8</v>
      </c>
      <c r="AC45" s="710">
        <f t="shared" si="7"/>
        <v>202486.8</v>
      </c>
      <c r="AD45" s="710">
        <f t="shared" si="7"/>
        <v>202486.8</v>
      </c>
      <c r="AE45" s="710">
        <f t="shared" si="7"/>
        <v>202486.8</v>
      </c>
      <c r="AF45" s="710">
        <f t="shared" si="7"/>
        <v>202486.8</v>
      </c>
      <c r="AG45" s="710">
        <f t="shared" si="7"/>
        <v>202486.8</v>
      </c>
      <c r="AH45" s="710">
        <f t="shared" si="7"/>
        <v>202486.8</v>
      </c>
      <c r="AI45" s="710">
        <f t="shared" si="7"/>
        <v>202486.8</v>
      </c>
      <c r="AJ45" s="710">
        <f t="shared" si="7"/>
        <v>202486.8</v>
      </c>
      <c r="AK45" s="710">
        <f t="shared" si="7"/>
        <v>202486.8</v>
      </c>
      <c r="AL45" s="710">
        <f t="shared" si="7"/>
        <v>202486.8</v>
      </c>
      <c r="AM45" s="710">
        <f t="shared" si="7"/>
        <v>202486.8</v>
      </c>
      <c r="AN45" s="710">
        <f t="shared" si="7"/>
        <v>202486.8</v>
      </c>
      <c r="AO45" s="710">
        <f t="shared" si="7"/>
        <v>202486.8</v>
      </c>
      <c r="AP45" s="710">
        <f t="shared" si="7"/>
        <v>202486.8</v>
      </c>
      <c r="AQ45" s="710">
        <f t="shared" si="7"/>
        <v>202486.8</v>
      </c>
      <c r="AR45" s="710">
        <f t="shared" si="7"/>
        <v>202486.8</v>
      </c>
      <c r="AS45" s="710">
        <f t="shared" si="7"/>
        <v>202486.8</v>
      </c>
      <c r="AT45" s="710">
        <f t="shared" si="7"/>
        <v>202486.8</v>
      </c>
      <c r="AU45" s="426">
        <f t="shared" si="7"/>
        <v>202486.8</v>
      </c>
    </row>
    <row r="46" spans="1:49" s="15" customFormat="1" ht="18.75" customHeight="1" x14ac:dyDescent="0.25"/>
    <row r="47" spans="1:49" s="15" customFormat="1" ht="13.5" x14ac:dyDescent="0.25"/>
    <row r="48" spans="1:49" s="15" customFormat="1" ht="13.5" x14ac:dyDescent="0.25"/>
    <row r="49" spans="3:4" x14ac:dyDescent="0.25">
      <c r="C49" s="237"/>
      <c r="D49" s="237"/>
    </row>
    <row r="50" spans="3:4" x14ac:dyDescent="0.25">
      <c r="C50" s="238"/>
      <c r="D50" s="237"/>
    </row>
    <row r="51" spans="3:4" x14ac:dyDescent="0.25">
      <c r="C51" s="238"/>
      <c r="D51" s="237"/>
    </row>
    <row r="52" spans="3:4" x14ac:dyDescent="0.25">
      <c r="C52" s="238"/>
      <c r="D52" s="239"/>
    </row>
    <row r="53" spans="3:4" x14ac:dyDescent="0.25">
      <c r="C53" s="238"/>
      <c r="D53" s="240"/>
    </row>
    <row r="54" spans="3:4" x14ac:dyDescent="0.25">
      <c r="C54" s="238"/>
      <c r="D54" s="237"/>
    </row>
    <row r="55" spans="3:4" x14ac:dyDescent="0.25">
      <c r="C55" s="237"/>
      <c r="D55" s="237"/>
    </row>
    <row r="56" spans="3:4" x14ac:dyDescent="0.25">
      <c r="C56" s="237"/>
      <c r="D56" s="237"/>
    </row>
    <row r="57" spans="3:4" x14ac:dyDescent="0.25">
      <c r="C57" s="237"/>
      <c r="D57" s="239"/>
    </row>
    <row r="58" spans="3:4" x14ac:dyDescent="0.25">
      <c r="C58" s="237"/>
      <c r="D58" s="239"/>
    </row>
  </sheetData>
  <sheetProtection algorithmName="SHA-512" hashValue="mmWd/WU3ERJ7+TzNzRLPUc69786JJ9DMw6eYG+1jORfbRjvWN/O2IDgmxfMiH7IBIWkM3WD5LRfOc8jokuXrUw==" saltValue="uN9ikMQtyzzpSKpE3+9j4g==" spinCount="100000" sheet="1" objects="1" scenarios="1" selectLockedCells="1"/>
  <mergeCells count="2">
    <mergeCell ref="B3:D3"/>
    <mergeCell ref="E3:L3"/>
  </mergeCells>
  <conditionalFormatting sqref="C30:C32">
    <cfRule type="containsText" dxfId="59" priority="1" operator="containsText" text="Kõrge">
      <formula>NOT(ISERROR(SEARCH("Kõrge",C30)))</formula>
    </cfRule>
    <cfRule type="containsText" dxfId="58" priority="2" operator="containsText" text="Mõõdukas">
      <formula>NOT(ISERROR(SEARCH("Mõõdukas",C30)))</formula>
    </cfRule>
    <cfRule type="containsText" dxfId="57" priority="3" operator="containsText" text="Madal">
      <formula>NOT(ISERROR(SEARCH("Madal",C30)))</formula>
    </cfRule>
  </conditionalFormatting>
  <dataValidations count="3">
    <dataValidation type="list" allowBlank="1" showInputMessage="1" showErrorMessage="1" sqref="C32" xr:uid="{2EC0F17C-AF43-4166-BAE4-F7134C9BB7AE}">
      <formula1>I30:I32</formula1>
    </dataValidation>
    <dataValidation type="list" allowBlank="1" showInputMessage="1" showErrorMessage="1" sqref="C30" xr:uid="{D5198EAF-CADE-4B55-B1DD-56790BD5356B}">
      <formula1>I30:I32</formula1>
    </dataValidation>
    <dataValidation type="list" allowBlank="1" showInputMessage="1" showErrorMessage="1" sqref="C31" xr:uid="{8DDE8EA4-D4F3-45DE-81B7-3FEEE289E367}">
      <formula1>I30:I32</formula1>
    </dataValidation>
  </dataValidations>
  <hyperlinks>
    <hyperlink ref="B1" location="MEETMED!A1" display="&lt;-MEETMETE NIMEKIRI" xr:uid="{88F3BDB1-0D87-4BF7-B873-131DEA62344E}"/>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8663B-7377-4EE4-8C7E-83D16A6F3E35}">
  <sheetPr>
    <tabColor theme="3" tint="0.89999084444715716"/>
  </sheetPr>
  <dimension ref="A1:AW64"/>
  <sheetViews>
    <sheetView showGridLines="0" zoomScaleNormal="100" workbookViewId="0">
      <selection activeCell="C7" sqref="C7"/>
    </sheetView>
  </sheetViews>
  <sheetFormatPr defaultColWidth="8.85546875" defaultRowHeight="15" outlineLevelRow="1" x14ac:dyDescent="0.25"/>
  <cols>
    <col min="1" max="1" width="2.28515625" customWidth="1"/>
    <col min="2" max="2" width="49.5703125" customWidth="1"/>
    <col min="3" max="3" width="14.42578125" customWidth="1"/>
    <col min="4" max="4" width="14.28515625" customWidth="1"/>
    <col min="5" max="5" width="12.140625" customWidth="1"/>
    <col min="6" max="6" width="11.85546875" customWidth="1"/>
    <col min="7" max="7" width="11.28515625" customWidth="1"/>
    <col min="8"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5.25" customHeight="1" x14ac:dyDescent="0.25">
      <c r="A3" s="260" t="s">
        <v>71</v>
      </c>
      <c r="B3" s="988" t="str">
        <f>"MEEDE: "&amp;VLOOKUP(A3,MEETMED!B:G,2,FALSE)</f>
        <v>MEEDE: Energiatõhususe tõstmine - tänavavalgustus</v>
      </c>
      <c r="C3" s="988"/>
      <c r="D3" s="988"/>
      <c r="E3" s="990" t="str">
        <f>"TEGEVUS: "&amp;VLOOKUP(A3,MEETMED!B:G,3,FALSE)</f>
        <v>TEGEVUS: Tänavavalgustuse energiaefektiivsuse tõstmine - tänavavalgustuse väljavahetamine/ja parendamine</v>
      </c>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33"/>
    </row>
    <row r="7" spans="1:27" s="1" customFormat="1" outlineLevel="1" x14ac:dyDescent="0.25">
      <c r="B7" s="671" t="s">
        <v>862</v>
      </c>
      <c r="C7" s="900">
        <v>2026</v>
      </c>
      <c r="D7" s="155" t="s">
        <v>863</v>
      </c>
      <c r="E7" s="339"/>
      <c r="F7" s="339"/>
      <c r="G7" s="339"/>
      <c r="H7" s="339"/>
      <c r="I7" s="339"/>
      <c r="J7" s="339"/>
      <c r="K7" s="277" t="s">
        <v>876</v>
      </c>
    </row>
    <row r="8" spans="1:27" s="1" customFormat="1" outlineLevel="1" x14ac:dyDescent="0.25">
      <c r="B8" s="671" t="s">
        <v>864</v>
      </c>
      <c r="C8" s="900">
        <v>2027</v>
      </c>
      <c r="D8" s="155" t="s">
        <v>863</v>
      </c>
      <c r="E8" s="339" t="s">
        <v>1116</v>
      </c>
      <c r="F8" s="339"/>
      <c r="G8" s="339"/>
      <c r="H8" s="339"/>
      <c r="K8" s="893" t="s">
        <v>1670</v>
      </c>
      <c r="L8" s="305" t="s">
        <v>877</v>
      </c>
      <c r="O8" s="364" t="s">
        <v>1117</v>
      </c>
      <c r="P8" s="364"/>
      <c r="Q8" s="364" t="s">
        <v>1118</v>
      </c>
      <c r="R8" s="364"/>
      <c r="S8" s="364"/>
      <c r="T8" s="364"/>
      <c r="U8" s="364" t="s">
        <v>1119</v>
      </c>
      <c r="V8" s="364"/>
      <c r="W8" s="364"/>
    </row>
    <row r="9" spans="1:27" s="1" customFormat="1" outlineLevel="1" x14ac:dyDescent="0.25">
      <c r="B9" s="671" t="s">
        <v>865</v>
      </c>
      <c r="C9" s="749">
        <f>C8-C7+1</f>
        <v>2</v>
      </c>
      <c r="D9" s="155" t="s">
        <v>863</v>
      </c>
      <c r="E9" s="339"/>
      <c r="F9" s="339"/>
      <c r="G9" s="339"/>
      <c r="H9" s="339"/>
      <c r="K9" s="892" t="s">
        <v>878</v>
      </c>
      <c r="L9" s="305" t="s">
        <v>1669</v>
      </c>
      <c r="O9" s="365" t="s">
        <v>1120</v>
      </c>
      <c r="P9" s="305"/>
      <c r="Q9" s="335" t="s">
        <v>1121</v>
      </c>
      <c r="R9" s="305"/>
      <c r="S9" s="305"/>
      <c r="T9" s="305"/>
      <c r="U9" s="335" t="s">
        <v>1122</v>
      </c>
      <c r="V9" s="305"/>
      <c r="W9" s="305"/>
    </row>
    <row r="10" spans="1:27" s="1" customFormat="1" outlineLevel="1" x14ac:dyDescent="0.25">
      <c r="B10" s="793" t="s">
        <v>1123</v>
      </c>
      <c r="C10" s="896">
        <v>36000</v>
      </c>
      <c r="D10" s="305" t="s">
        <v>1124</v>
      </c>
      <c r="E10" s="339"/>
      <c r="F10" s="339"/>
      <c r="G10" s="339"/>
      <c r="H10" s="339"/>
      <c r="K10" s="892" t="s">
        <v>1671</v>
      </c>
      <c r="L10" s="228">
        <v>1234</v>
      </c>
      <c r="O10" s="365" t="s">
        <v>1125</v>
      </c>
      <c r="P10" s="305"/>
      <c r="Q10" s="335" t="s">
        <v>1126</v>
      </c>
      <c r="R10" s="305"/>
      <c r="S10" s="305"/>
      <c r="T10" s="305"/>
      <c r="U10" s="335" t="s">
        <v>1127</v>
      </c>
      <c r="V10" s="305"/>
      <c r="W10" s="305"/>
    </row>
    <row r="11" spans="1:27" s="1" customFormat="1" ht="27" outlineLevel="1" x14ac:dyDescent="0.25">
      <c r="B11" s="793"/>
      <c r="C11" s="794" t="s">
        <v>1124</v>
      </c>
      <c r="D11" s="280" t="s">
        <v>1128</v>
      </c>
      <c r="E11" s="280" t="s">
        <v>1129</v>
      </c>
      <c r="F11" s="280" t="s">
        <v>1130</v>
      </c>
      <c r="G11" s="280" t="s">
        <v>1131</v>
      </c>
      <c r="H11" s="280" t="s">
        <v>1132</v>
      </c>
      <c r="O11" s="365" t="s">
        <v>1133</v>
      </c>
      <c r="P11" s="305"/>
      <c r="Q11" s="335" t="s">
        <v>1134</v>
      </c>
      <c r="R11" s="305"/>
      <c r="S11" s="305"/>
      <c r="T11" s="305"/>
      <c r="U11" s="335" t="s">
        <v>1135</v>
      </c>
      <c r="V11" s="305"/>
      <c r="W11" s="305"/>
    </row>
    <row r="12" spans="1:27" s="1" customFormat="1" outlineLevel="1" x14ac:dyDescent="0.25">
      <c r="B12" s="793" t="s">
        <v>1136</v>
      </c>
      <c r="C12" s="896">
        <v>31000</v>
      </c>
      <c r="D12" s="917">
        <v>250</v>
      </c>
      <c r="E12" s="917">
        <v>21000</v>
      </c>
      <c r="F12" s="229">
        <f>ROUNDUP(E12/$C$15,0)</f>
        <v>5</v>
      </c>
      <c r="G12" s="917">
        <v>125</v>
      </c>
      <c r="H12" s="917"/>
      <c r="O12" s="365" t="s">
        <v>1137</v>
      </c>
      <c r="P12" s="305"/>
      <c r="Q12" s="335" t="s">
        <v>1138</v>
      </c>
      <c r="R12" s="305"/>
      <c r="S12" s="305"/>
      <c r="T12" s="305"/>
      <c r="U12" s="335" t="s">
        <v>1139</v>
      </c>
      <c r="V12" s="305"/>
      <c r="W12" s="305"/>
    </row>
    <row r="13" spans="1:27" s="1" customFormat="1" outlineLevel="1" x14ac:dyDescent="0.25">
      <c r="B13" s="793" t="s">
        <v>1140</v>
      </c>
      <c r="C13" s="749">
        <f>C10-C12</f>
        <v>5000</v>
      </c>
      <c r="D13" s="917">
        <f>(30+150)/2</f>
        <v>90</v>
      </c>
      <c r="E13" s="917">
        <v>75000</v>
      </c>
      <c r="F13" s="229">
        <f>ROUNDUP(E13/$C$15,0)</f>
        <v>17</v>
      </c>
      <c r="G13" s="917">
        <v>250</v>
      </c>
      <c r="H13" s="917">
        <v>500</v>
      </c>
      <c r="I13" s="339"/>
      <c r="J13" s="339"/>
      <c r="K13" s="339"/>
      <c r="L13" s="339"/>
    </row>
    <row r="14" spans="1:27" s="1" customFormat="1" outlineLevel="1" x14ac:dyDescent="0.25">
      <c r="B14" s="795" t="s">
        <v>1141</v>
      </c>
      <c r="C14" s="774">
        <f>C12-C13</f>
        <v>26000</v>
      </c>
      <c r="D14" s="339"/>
      <c r="E14" s="339"/>
      <c r="G14" s="339"/>
      <c r="H14" s="82" t="s">
        <v>1142</v>
      </c>
      <c r="I14" s="339"/>
      <c r="J14" s="339"/>
      <c r="K14" s="339"/>
      <c r="L14" s="339"/>
    </row>
    <row r="15" spans="1:27" s="1" customFormat="1" outlineLevel="1" x14ac:dyDescent="0.25">
      <c r="B15" s="793" t="s">
        <v>1143</v>
      </c>
      <c r="C15" s="896">
        <v>4500</v>
      </c>
      <c r="D15" s="305" t="s">
        <v>1144</v>
      </c>
      <c r="E15" s="339"/>
      <c r="F15" s="339"/>
      <c r="G15" s="339"/>
      <c r="H15" s="339"/>
      <c r="I15" s="339"/>
      <c r="J15" s="339"/>
      <c r="K15" s="339"/>
      <c r="L15" s="339"/>
    </row>
    <row r="16" spans="1:27" s="1" customFormat="1" outlineLevel="1" x14ac:dyDescent="0.25">
      <c r="B16" s="793" t="s">
        <v>891</v>
      </c>
      <c r="C16" s="896">
        <v>100</v>
      </c>
      <c r="D16" s="305" t="s">
        <v>1011</v>
      </c>
      <c r="E16" s="339"/>
      <c r="F16" s="339"/>
      <c r="G16" s="339"/>
      <c r="H16" s="339"/>
      <c r="I16" s="339"/>
      <c r="J16" s="339"/>
      <c r="K16" s="339"/>
      <c r="L16" s="339"/>
    </row>
    <row r="17" spans="1:34" s="1" customFormat="1" x14ac:dyDescent="0.25">
      <c r="B17" s="305"/>
      <c r="D17" s="305"/>
      <c r="E17" s="339"/>
      <c r="F17" s="339"/>
      <c r="G17" s="339"/>
      <c r="H17" s="339"/>
      <c r="I17" s="339"/>
      <c r="J17" s="339"/>
      <c r="K17" s="339"/>
      <c r="L17" s="339"/>
    </row>
    <row r="18" spans="1:34" x14ac:dyDescent="0.25">
      <c r="A18" s="1"/>
      <c r="B18" s="659" t="s">
        <v>895</v>
      </c>
      <c r="C18" s="659"/>
      <c r="D18" s="659"/>
      <c r="E18" s="659"/>
      <c r="F18" s="659"/>
      <c r="G18" s="659"/>
      <c r="H18" s="659"/>
      <c r="I18" s="659"/>
      <c r="J18" s="659"/>
      <c r="K18" s="659"/>
      <c r="L18" s="659"/>
      <c r="N18" s="1"/>
      <c r="T18" s="1"/>
      <c r="U18" s="1"/>
      <c r="V18" s="1"/>
      <c r="W18" s="1"/>
      <c r="X18" s="1"/>
      <c r="Y18" s="1"/>
      <c r="Z18" s="1"/>
      <c r="AA18" s="1"/>
      <c r="AB18" s="1"/>
      <c r="AC18" s="1"/>
      <c r="AD18" s="1"/>
      <c r="AE18" s="1"/>
      <c r="AF18" s="1"/>
      <c r="AG18" s="1"/>
      <c r="AH18" s="1"/>
    </row>
    <row r="19" spans="1:34" s="1" customFormat="1" ht="9.75" customHeight="1" outlineLevel="1" x14ac:dyDescent="0.25"/>
    <row r="20" spans="1:34" s="1" customFormat="1" outlineLevel="1" x14ac:dyDescent="0.25">
      <c r="B20" s="13" t="s">
        <v>896</v>
      </c>
      <c r="D20" s="234"/>
      <c r="E20" s="284" t="s">
        <v>897</v>
      </c>
      <c r="N20" s="327"/>
    </row>
    <row r="21" spans="1:34" s="1" customFormat="1" outlineLevel="1" x14ac:dyDescent="0.25">
      <c r="B21" s="660" t="s">
        <v>898</v>
      </c>
      <c r="C21" s="665" t="s">
        <v>899</v>
      </c>
      <c r="D21" s="234"/>
      <c r="E21" s="661"/>
      <c r="F21" s="701" t="s">
        <v>900</v>
      </c>
    </row>
    <row r="22" spans="1:34" s="1" customFormat="1" ht="15" customHeight="1" outlineLevel="1" x14ac:dyDescent="0.25">
      <c r="B22" s="663" t="s">
        <v>398</v>
      </c>
      <c r="C22" s="666">
        <f>SUM(C42:AA42)/25/1000</f>
        <v>0.52</v>
      </c>
      <c r="E22" s="663">
        <v>2030</v>
      </c>
      <c r="F22" s="670">
        <f>G50</f>
        <v>0</v>
      </c>
      <c r="N22" s="82"/>
    </row>
    <row r="23" spans="1:34" s="1" customFormat="1" ht="15" customHeight="1" outlineLevel="1" x14ac:dyDescent="0.25">
      <c r="B23" s="155" t="s">
        <v>399</v>
      </c>
      <c r="C23" s="667">
        <f>SUM(C43:AA43)/25/1000</f>
        <v>0.91</v>
      </c>
      <c r="E23" s="155">
        <v>2035</v>
      </c>
      <c r="F23" s="428">
        <f>L50</f>
        <v>0</v>
      </c>
    </row>
    <row r="24" spans="1:34" s="1" customFormat="1" ht="15" customHeight="1" outlineLevel="1" x14ac:dyDescent="0.25">
      <c r="B24" s="663" t="s">
        <v>400</v>
      </c>
      <c r="C24" s="666">
        <f>SUM(C46:AA46)/25/1000</f>
        <v>-1.69468</v>
      </c>
      <c r="D24" s="261"/>
      <c r="E24" s="663">
        <v>2040</v>
      </c>
      <c r="F24" s="670">
        <f>Q50</f>
        <v>0</v>
      </c>
    </row>
    <row r="25" spans="1:34" s="1" customFormat="1" ht="15" customHeight="1" outlineLevel="1" x14ac:dyDescent="0.25">
      <c r="B25" s="155" t="s">
        <v>401</v>
      </c>
      <c r="C25" s="667">
        <f>C24</f>
        <v>-1.69468</v>
      </c>
      <c r="D25" s="261"/>
      <c r="E25" s="155">
        <v>2045</v>
      </c>
      <c r="F25" s="428">
        <f>V50</f>
        <v>0</v>
      </c>
    </row>
    <row r="26" spans="1:34" s="1" customFormat="1" outlineLevel="1" x14ac:dyDescent="0.25">
      <c r="B26" s="663" t="s">
        <v>901</v>
      </c>
      <c r="C26" s="670">
        <v>0</v>
      </c>
      <c r="D26" s="261"/>
      <c r="E26" s="663">
        <v>2050</v>
      </c>
      <c r="F26" s="670">
        <f>AA50</f>
        <v>0</v>
      </c>
    </row>
    <row r="27" spans="1:34" s="1" customFormat="1" ht="15" customHeight="1" outlineLevel="1" x14ac:dyDescent="0.25">
      <c r="B27" s="155" t="s">
        <v>902</v>
      </c>
      <c r="C27" s="428">
        <f>SUM(C49:AA49)/1000</f>
        <v>439.92</v>
      </c>
      <c r="D27" s="261"/>
      <c r="E27" s="228"/>
    </row>
    <row r="28" spans="1:34" s="1" customFormat="1" ht="15" customHeight="1" outlineLevel="1" x14ac:dyDescent="0.25">
      <c r="B28" s="663" t="s">
        <v>403</v>
      </c>
      <c r="C28" s="670" t="s">
        <v>949</v>
      </c>
      <c r="D28" s="261"/>
      <c r="E28" s="228"/>
    </row>
    <row r="29" spans="1:34" s="1" customFormat="1" outlineLevel="1" x14ac:dyDescent="0.25">
      <c r="B29" s="13"/>
      <c r="C29" s="236"/>
      <c r="D29" s="234"/>
      <c r="E29" s="228"/>
    </row>
    <row r="30" spans="1:34" s="1" customFormat="1" outlineLevel="1" x14ac:dyDescent="0.25">
      <c r="B30" s="284" t="s">
        <v>903</v>
      </c>
      <c r="D30" s="43"/>
      <c r="E30" s="7"/>
      <c r="I30" s="277" t="s">
        <v>876</v>
      </c>
    </row>
    <row r="31" spans="1:34" s="1" customFormat="1" outlineLevel="1" x14ac:dyDescent="0.25">
      <c r="A31" s="33"/>
      <c r="B31" s="155" t="s">
        <v>904</v>
      </c>
      <c r="C31" s="307" t="s">
        <v>905</v>
      </c>
      <c r="D31" s="12"/>
      <c r="E31" s="12"/>
      <c r="F31" s="12"/>
      <c r="G31" s="12"/>
      <c r="H31" s="12"/>
      <c r="I31" s="311" t="s">
        <v>474</v>
      </c>
      <c r="J31" s="295" t="s">
        <v>906</v>
      </c>
    </row>
    <row r="32" spans="1:34" s="1" customFormat="1" ht="16.5" customHeight="1" outlineLevel="1" x14ac:dyDescent="0.25">
      <c r="A32" s="33">
        <v>1</v>
      </c>
      <c r="B32" s="155" t="s">
        <v>907</v>
      </c>
      <c r="C32" s="307" t="s">
        <v>474</v>
      </c>
      <c r="D32" s="397">
        <f>IF(C32="Kõrge",3,IF(C32="Mõõdukas",2,1))</f>
        <v>3</v>
      </c>
      <c r="E32" s="12"/>
      <c r="F32" s="12"/>
      <c r="G32" s="12"/>
      <c r="H32" s="12"/>
      <c r="I32" s="312" t="s">
        <v>905</v>
      </c>
      <c r="J32" s="295" t="s">
        <v>908</v>
      </c>
      <c r="K32" s="273" t="s">
        <v>1093</v>
      </c>
    </row>
    <row r="33" spans="1:49" s="1" customFormat="1" ht="16.5" customHeight="1" outlineLevel="1" x14ac:dyDescent="0.25">
      <c r="A33" s="33"/>
      <c r="B33" s="155" t="s">
        <v>909</v>
      </c>
      <c r="C33" s="307" t="s">
        <v>910</v>
      </c>
      <c r="D33" s="397">
        <f>IF(C33="Kõrge",3,IF(C33="Mõõdukas",2,1))</f>
        <v>1</v>
      </c>
      <c r="E33" s="12"/>
      <c r="F33" s="12"/>
      <c r="I33" s="313" t="s">
        <v>910</v>
      </c>
      <c r="J33" s="295" t="s">
        <v>911</v>
      </c>
      <c r="K33" s="273" t="s">
        <v>1094</v>
      </c>
    </row>
    <row r="34" spans="1:49" s="1" customFormat="1" x14ac:dyDescent="0.25">
      <c r="B34" s="13"/>
      <c r="C34" s="399" t="s">
        <v>912</v>
      </c>
      <c r="D34" s="398">
        <f>D33+D32</f>
        <v>4</v>
      </c>
    </row>
    <row r="35" spans="1:49" x14ac:dyDescent="0.25">
      <c r="A35" s="1"/>
      <c r="B35" s="659" t="s">
        <v>913</v>
      </c>
      <c r="C35" s="659"/>
      <c r="D35" s="659"/>
      <c r="E35" s="659"/>
      <c r="F35" s="659"/>
      <c r="G35" s="659"/>
      <c r="H35" s="659"/>
      <c r="I35" s="659"/>
      <c r="J35" s="659"/>
      <c r="K35" s="659"/>
      <c r="L35" s="659"/>
      <c r="M35" s="659"/>
      <c r="N35" s="659"/>
      <c r="O35" s="659"/>
      <c r="P35" s="659"/>
      <c r="Q35" s="659"/>
      <c r="R35" s="659"/>
      <c r="S35" s="659"/>
      <c r="T35" s="659"/>
      <c r="U35" s="659"/>
      <c r="V35" s="659"/>
      <c r="W35" s="659"/>
      <c r="X35" s="659"/>
      <c r="Y35" s="659"/>
      <c r="Z35" s="659"/>
      <c r="AA35" s="659"/>
      <c r="AB35" s="659"/>
      <c r="AC35" s="659"/>
      <c r="AD35" s="659"/>
      <c r="AE35" s="659"/>
      <c r="AF35" s="659"/>
      <c r="AG35" s="659"/>
      <c r="AH35" s="659"/>
      <c r="AI35" s="659"/>
      <c r="AJ35" s="659"/>
      <c r="AK35" s="659"/>
      <c r="AL35" s="659"/>
      <c r="AM35" s="659"/>
      <c r="AN35" s="659"/>
      <c r="AO35" s="659"/>
      <c r="AP35" s="659"/>
      <c r="AQ35" s="659"/>
      <c r="AR35" s="659"/>
      <c r="AS35" s="659"/>
      <c r="AT35" s="659"/>
      <c r="AU35" s="659"/>
    </row>
    <row r="36" spans="1:49" s="15" customFormat="1" ht="7.5" customHeight="1" outlineLevel="1" x14ac:dyDescent="0.25"/>
    <row r="37" spans="1:49" s="15" customFormat="1" ht="13.5" outlineLevel="1" x14ac:dyDescent="0.25">
      <c r="B37" s="715" t="s">
        <v>914</v>
      </c>
      <c r="C37" s="432">
        <v>2026</v>
      </c>
      <c r="D37" s="432">
        <f>C37+1</f>
        <v>2027</v>
      </c>
      <c r="E37" s="432">
        <f t="shared" ref="E37:AU37" si="0">D37+1</f>
        <v>2028</v>
      </c>
      <c r="F37" s="432">
        <f t="shared" si="0"/>
        <v>2029</v>
      </c>
      <c r="G37" s="432">
        <f t="shared" si="0"/>
        <v>2030</v>
      </c>
      <c r="H37" s="432">
        <f t="shared" si="0"/>
        <v>2031</v>
      </c>
      <c r="I37" s="432">
        <f t="shared" si="0"/>
        <v>2032</v>
      </c>
      <c r="J37" s="432">
        <f t="shared" si="0"/>
        <v>2033</v>
      </c>
      <c r="K37" s="432">
        <f t="shared" si="0"/>
        <v>2034</v>
      </c>
      <c r="L37" s="432">
        <f t="shared" si="0"/>
        <v>2035</v>
      </c>
      <c r="M37" s="432">
        <f t="shared" si="0"/>
        <v>2036</v>
      </c>
      <c r="N37" s="432">
        <f t="shared" si="0"/>
        <v>2037</v>
      </c>
      <c r="O37" s="432">
        <f t="shared" si="0"/>
        <v>2038</v>
      </c>
      <c r="P37" s="432">
        <f t="shared" si="0"/>
        <v>2039</v>
      </c>
      <c r="Q37" s="432">
        <f t="shared" si="0"/>
        <v>2040</v>
      </c>
      <c r="R37" s="432">
        <f t="shared" si="0"/>
        <v>2041</v>
      </c>
      <c r="S37" s="432">
        <f t="shared" si="0"/>
        <v>2042</v>
      </c>
      <c r="T37" s="432">
        <f t="shared" si="0"/>
        <v>2043</v>
      </c>
      <c r="U37" s="432">
        <f t="shared" si="0"/>
        <v>2044</v>
      </c>
      <c r="V37" s="432">
        <f t="shared" si="0"/>
        <v>2045</v>
      </c>
      <c r="W37" s="432">
        <f t="shared" si="0"/>
        <v>2046</v>
      </c>
      <c r="X37" s="432">
        <f t="shared" si="0"/>
        <v>2047</v>
      </c>
      <c r="Y37" s="432">
        <f t="shared" si="0"/>
        <v>2048</v>
      </c>
      <c r="Z37" s="432">
        <f t="shared" si="0"/>
        <v>2049</v>
      </c>
      <c r="AA37" s="432">
        <f t="shared" si="0"/>
        <v>2050</v>
      </c>
      <c r="AB37" s="432">
        <f t="shared" si="0"/>
        <v>2051</v>
      </c>
      <c r="AC37" s="432">
        <f t="shared" si="0"/>
        <v>2052</v>
      </c>
      <c r="AD37" s="432">
        <f t="shared" si="0"/>
        <v>2053</v>
      </c>
      <c r="AE37" s="432">
        <f t="shared" si="0"/>
        <v>2054</v>
      </c>
      <c r="AF37" s="432">
        <f t="shared" si="0"/>
        <v>2055</v>
      </c>
      <c r="AG37" s="432">
        <f t="shared" si="0"/>
        <v>2056</v>
      </c>
      <c r="AH37" s="432">
        <f t="shared" si="0"/>
        <v>2057</v>
      </c>
      <c r="AI37" s="432">
        <f t="shared" si="0"/>
        <v>2058</v>
      </c>
      <c r="AJ37" s="432">
        <f t="shared" si="0"/>
        <v>2059</v>
      </c>
      <c r="AK37" s="432">
        <f t="shared" si="0"/>
        <v>2060</v>
      </c>
      <c r="AL37" s="432">
        <f t="shared" si="0"/>
        <v>2061</v>
      </c>
      <c r="AM37" s="432">
        <f t="shared" si="0"/>
        <v>2062</v>
      </c>
      <c r="AN37" s="432">
        <f t="shared" si="0"/>
        <v>2063</v>
      </c>
      <c r="AO37" s="432">
        <f t="shared" si="0"/>
        <v>2064</v>
      </c>
      <c r="AP37" s="432">
        <f t="shared" si="0"/>
        <v>2065</v>
      </c>
      <c r="AQ37" s="432">
        <f t="shared" si="0"/>
        <v>2066</v>
      </c>
      <c r="AR37" s="432">
        <f t="shared" si="0"/>
        <v>2067</v>
      </c>
      <c r="AS37" s="432">
        <f t="shared" si="0"/>
        <v>2068</v>
      </c>
      <c r="AT37" s="432">
        <f t="shared" si="0"/>
        <v>2069</v>
      </c>
      <c r="AU37" s="716">
        <f t="shared" si="0"/>
        <v>2070</v>
      </c>
      <c r="AV37" s="39"/>
      <c r="AW37" s="39"/>
    </row>
    <row r="38" spans="1:49" s="15" customFormat="1" ht="13.5" outlineLevel="1" x14ac:dyDescent="0.25">
      <c r="B38" s="723" t="s">
        <v>1037</v>
      </c>
      <c r="C38" s="724">
        <f>IF(OR(C37&lt;$C$7,C37&gt;$C$8),0,1)</f>
        <v>1</v>
      </c>
      <c r="D38" s="724">
        <f t="shared" ref="D38:AU38" si="1">IF(OR(D37&lt;$C$7,D37&gt;$C$8),0,1)</f>
        <v>1</v>
      </c>
      <c r="E38" s="724">
        <f t="shared" si="1"/>
        <v>0</v>
      </c>
      <c r="F38" s="724">
        <f t="shared" si="1"/>
        <v>0</v>
      </c>
      <c r="G38" s="724">
        <f t="shared" si="1"/>
        <v>0</v>
      </c>
      <c r="H38" s="724">
        <f t="shared" si="1"/>
        <v>0</v>
      </c>
      <c r="I38" s="724">
        <f t="shared" si="1"/>
        <v>0</v>
      </c>
      <c r="J38" s="724">
        <f t="shared" si="1"/>
        <v>0</v>
      </c>
      <c r="K38" s="724">
        <f t="shared" si="1"/>
        <v>0</v>
      </c>
      <c r="L38" s="724">
        <f t="shared" si="1"/>
        <v>0</v>
      </c>
      <c r="M38" s="724">
        <f t="shared" si="1"/>
        <v>0</v>
      </c>
      <c r="N38" s="724">
        <f t="shared" si="1"/>
        <v>0</v>
      </c>
      <c r="O38" s="724">
        <f t="shared" si="1"/>
        <v>0</v>
      </c>
      <c r="P38" s="724">
        <f t="shared" si="1"/>
        <v>0</v>
      </c>
      <c r="Q38" s="724">
        <f t="shared" si="1"/>
        <v>0</v>
      </c>
      <c r="R38" s="724">
        <f t="shared" si="1"/>
        <v>0</v>
      </c>
      <c r="S38" s="724">
        <f t="shared" si="1"/>
        <v>0</v>
      </c>
      <c r="T38" s="724">
        <f t="shared" si="1"/>
        <v>0</v>
      </c>
      <c r="U38" s="724">
        <f t="shared" si="1"/>
        <v>0</v>
      </c>
      <c r="V38" s="724">
        <f t="shared" si="1"/>
        <v>0</v>
      </c>
      <c r="W38" s="724">
        <f t="shared" si="1"/>
        <v>0</v>
      </c>
      <c r="X38" s="724">
        <f t="shared" si="1"/>
        <v>0</v>
      </c>
      <c r="Y38" s="724">
        <f t="shared" si="1"/>
        <v>0</v>
      </c>
      <c r="Z38" s="724">
        <f t="shared" si="1"/>
        <v>0</v>
      </c>
      <c r="AA38" s="724">
        <f t="shared" si="1"/>
        <v>0</v>
      </c>
      <c r="AB38" s="724">
        <f t="shared" si="1"/>
        <v>0</v>
      </c>
      <c r="AC38" s="724">
        <f t="shared" si="1"/>
        <v>0</v>
      </c>
      <c r="AD38" s="724">
        <f t="shared" si="1"/>
        <v>0</v>
      </c>
      <c r="AE38" s="724">
        <f t="shared" si="1"/>
        <v>0</v>
      </c>
      <c r="AF38" s="724">
        <f t="shared" si="1"/>
        <v>0</v>
      </c>
      <c r="AG38" s="724">
        <f t="shared" si="1"/>
        <v>0</v>
      </c>
      <c r="AH38" s="724">
        <f t="shared" si="1"/>
        <v>0</v>
      </c>
      <c r="AI38" s="724">
        <f t="shared" si="1"/>
        <v>0</v>
      </c>
      <c r="AJ38" s="724">
        <f t="shared" si="1"/>
        <v>0</v>
      </c>
      <c r="AK38" s="724">
        <f t="shared" si="1"/>
        <v>0</v>
      </c>
      <c r="AL38" s="724">
        <f t="shared" si="1"/>
        <v>0</v>
      </c>
      <c r="AM38" s="724">
        <f t="shared" si="1"/>
        <v>0</v>
      </c>
      <c r="AN38" s="724">
        <f t="shared" si="1"/>
        <v>0</v>
      </c>
      <c r="AO38" s="724">
        <f t="shared" si="1"/>
        <v>0</v>
      </c>
      <c r="AP38" s="724">
        <f t="shared" si="1"/>
        <v>0</v>
      </c>
      <c r="AQ38" s="724">
        <f t="shared" si="1"/>
        <v>0</v>
      </c>
      <c r="AR38" s="724">
        <f t="shared" si="1"/>
        <v>0</v>
      </c>
      <c r="AS38" s="724">
        <f t="shared" si="1"/>
        <v>0</v>
      </c>
      <c r="AT38" s="724">
        <f t="shared" si="1"/>
        <v>0</v>
      </c>
      <c r="AU38" s="725">
        <f t="shared" si="1"/>
        <v>0</v>
      </c>
    </row>
    <row r="39" spans="1:49" s="15" customFormat="1" ht="13.5" outlineLevel="1" x14ac:dyDescent="0.25">
      <c r="B39" s="431" t="s">
        <v>1145</v>
      </c>
      <c r="C39" s="717">
        <v>0</v>
      </c>
      <c r="D39" s="717">
        <v>0</v>
      </c>
      <c r="E39" s="717">
        <v>0</v>
      </c>
      <c r="F39" s="717">
        <v>0</v>
      </c>
      <c r="G39" s="717">
        <v>0</v>
      </c>
      <c r="H39" s="717">
        <v>0</v>
      </c>
      <c r="I39" s="717">
        <v>0</v>
      </c>
      <c r="J39" s="717">
        <v>0</v>
      </c>
      <c r="K39" s="717">
        <v>0</v>
      </c>
      <c r="L39" s="717">
        <v>0</v>
      </c>
      <c r="M39" s="717">
        <v>0</v>
      </c>
      <c r="N39" s="717">
        <v>0</v>
      </c>
      <c r="O39" s="717">
        <v>0</v>
      </c>
      <c r="P39" s="717">
        <v>0</v>
      </c>
      <c r="Q39" s="717">
        <v>0</v>
      </c>
      <c r="R39" s="717">
        <v>0</v>
      </c>
      <c r="S39" s="717">
        <v>0</v>
      </c>
      <c r="T39" s="717">
        <v>0</v>
      </c>
      <c r="U39" s="717">
        <v>0</v>
      </c>
      <c r="V39" s="717">
        <v>1</v>
      </c>
      <c r="W39" s="717">
        <v>1</v>
      </c>
      <c r="X39" s="717">
        <v>1</v>
      </c>
      <c r="Y39" s="717">
        <v>1</v>
      </c>
      <c r="Z39" s="717">
        <v>1</v>
      </c>
      <c r="AA39" s="717">
        <v>0</v>
      </c>
      <c r="AB39" s="717">
        <v>0</v>
      </c>
      <c r="AC39" s="717">
        <v>0</v>
      </c>
      <c r="AD39" s="717">
        <v>0</v>
      </c>
      <c r="AE39" s="717">
        <v>0</v>
      </c>
      <c r="AF39" s="717">
        <v>0</v>
      </c>
      <c r="AG39" s="717">
        <v>0</v>
      </c>
      <c r="AH39" s="717">
        <v>0</v>
      </c>
      <c r="AI39" s="717">
        <v>0</v>
      </c>
      <c r="AJ39" s="717">
        <v>0</v>
      </c>
      <c r="AK39" s="717">
        <v>0</v>
      </c>
      <c r="AL39" s="717">
        <v>0</v>
      </c>
      <c r="AM39" s="717">
        <v>0</v>
      </c>
      <c r="AN39" s="717">
        <v>1</v>
      </c>
      <c r="AO39" s="717">
        <v>1</v>
      </c>
      <c r="AP39" s="717">
        <v>1</v>
      </c>
      <c r="AQ39" s="717">
        <v>1</v>
      </c>
      <c r="AR39" s="717">
        <v>1</v>
      </c>
      <c r="AS39" s="717">
        <v>0</v>
      </c>
      <c r="AT39" s="717">
        <v>0</v>
      </c>
      <c r="AU39" s="718">
        <v>0</v>
      </c>
    </row>
    <row r="40" spans="1:49" s="15" customFormat="1" ht="13.5" outlineLevel="1" x14ac:dyDescent="0.25">
      <c r="B40" s="723" t="s">
        <v>1146</v>
      </c>
      <c r="C40" s="724">
        <v>0</v>
      </c>
      <c r="D40" s="724">
        <v>0</v>
      </c>
      <c r="E40" s="724">
        <v>0</v>
      </c>
      <c r="F40" s="724">
        <v>0</v>
      </c>
      <c r="G40" s="724">
        <v>0</v>
      </c>
      <c r="H40" s="724">
        <v>0</v>
      </c>
      <c r="I40" s="724">
        <v>1</v>
      </c>
      <c r="J40" s="724">
        <v>1</v>
      </c>
      <c r="K40" s="724">
        <v>1</v>
      </c>
      <c r="L40" s="724">
        <v>1</v>
      </c>
      <c r="M40" s="724">
        <v>1</v>
      </c>
      <c r="N40" s="724">
        <v>1</v>
      </c>
      <c r="O40" s="724">
        <v>1</v>
      </c>
      <c r="P40" s="724">
        <v>1</v>
      </c>
      <c r="Q40" s="724">
        <v>1</v>
      </c>
      <c r="R40" s="724">
        <v>1</v>
      </c>
      <c r="S40" s="724">
        <v>1</v>
      </c>
      <c r="T40" s="724">
        <v>1</v>
      </c>
      <c r="U40" s="724">
        <v>1</v>
      </c>
      <c r="V40" s="724">
        <v>1</v>
      </c>
      <c r="W40" s="724">
        <v>1</v>
      </c>
      <c r="X40" s="724">
        <v>1</v>
      </c>
      <c r="Y40" s="724">
        <v>1</v>
      </c>
      <c r="Z40" s="724">
        <v>1</v>
      </c>
      <c r="AA40" s="724">
        <v>1</v>
      </c>
      <c r="AB40" s="724">
        <v>1</v>
      </c>
      <c r="AC40" s="724">
        <v>1</v>
      </c>
      <c r="AD40" s="724">
        <v>1</v>
      </c>
      <c r="AE40" s="724">
        <v>1</v>
      </c>
      <c r="AF40" s="724">
        <v>1</v>
      </c>
      <c r="AG40" s="724">
        <v>1</v>
      </c>
      <c r="AH40" s="724">
        <v>1</v>
      </c>
      <c r="AI40" s="724">
        <v>1</v>
      </c>
      <c r="AJ40" s="724">
        <v>1</v>
      </c>
      <c r="AK40" s="724">
        <v>1</v>
      </c>
      <c r="AL40" s="724">
        <v>1</v>
      </c>
      <c r="AM40" s="724">
        <v>1</v>
      </c>
      <c r="AN40" s="724">
        <v>1</v>
      </c>
      <c r="AO40" s="724">
        <v>1</v>
      </c>
      <c r="AP40" s="724">
        <v>1</v>
      </c>
      <c r="AQ40" s="724">
        <v>1</v>
      </c>
      <c r="AR40" s="724">
        <v>1</v>
      </c>
      <c r="AS40" s="724">
        <v>1</v>
      </c>
      <c r="AT40" s="724">
        <v>1</v>
      </c>
      <c r="AU40" s="725">
        <v>1</v>
      </c>
    </row>
    <row r="41" spans="1:49" s="15" customFormat="1" ht="13.5" outlineLevel="1" x14ac:dyDescent="0.25">
      <c r="B41" s="431"/>
      <c r="C41" s="717"/>
      <c r="D41" s="717"/>
      <c r="E41" s="717"/>
      <c r="F41" s="717"/>
      <c r="G41" s="717"/>
      <c r="H41" s="717"/>
      <c r="I41" s="717"/>
      <c r="J41" s="717"/>
      <c r="K41" s="717"/>
      <c r="L41" s="717"/>
      <c r="M41" s="717"/>
      <c r="N41" s="717"/>
      <c r="O41" s="717"/>
      <c r="P41" s="717"/>
      <c r="Q41" s="717"/>
      <c r="R41" s="717"/>
      <c r="S41" s="717"/>
      <c r="T41" s="717"/>
      <c r="U41" s="717"/>
      <c r="V41" s="717"/>
      <c r="W41" s="717"/>
      <c r="X41" s="717"/>
      <c r="Y41" s="717"/>
      <c r="Z41" s="717"/>
      <c r="AA41" s="717"/>
      <c r="AB41" s="717"/>
      <c r="AC41" s="717"/>
      <c r="AD41" s="717"/>
      <c r="AE41" s="717"/>
      <c r="AF41" s="717"/>
      <c r="AG41" s="717"/>
      <c r="AH41" s="717"/>
      <c r="AI41" s="717"/>
      <c r="AJ41" s="717"/>
      <c r="AK41" s="717"/>
      <c r="AL41" s="717"/>
      <c r="AM41" s="717"/>
      <c r="AN41" s="717"/>
      <c r="AO41" s="717"/>
      <c r="AP41" s="717"/>
      <c r="AQ41" s="717"/>
      <c r="AR41" s="717"/>
      <c r="AS41" s="717"/>
      <c r="AT41" s="717"/>
      <c r="AU41" s="718"/>
    </row>
    <row r="42" spans="1:49" s="15" customFormat="1" ht="13.5" outlineLevel="1" x14ac:dyDescent="0.25">
      <c r="B42" s="723" t="s">
        <v>1147</v>
      </c>
      <c r="C42" s="724">
        <f t="shared" ref="C42:AU42" si="2">$C$14/$C$9*$H$13*C38/1000</f>
        <v>6500</v>
      </c>
      <c r="D42" s="724">
        <f t="shared" si="2"/>
        <v>6500</v>
      </c>
      <c r="E42" s="724">
        <f t="shared" si="2"/>
        <v>0</v>
      </c>
      <c r="F42" s="724">
        <f t="shared" si="2"/>
        <v>0</v>
      </c>
      <c r="G42" s="724">
        <f t="shared" si="2"/>
        <v>0</v>
      </c>
      <c r="H42" s="724">
        <f t="shared" si="2"/>
        <v>0</v>
      </c>
      <c r="I42" s="724">
        <f t="shared" si="2"/>
        <v>0</v>
      </c>
      <c r="J42" s="724">
        <f t="shared" si="2"/>
        <v>0</v>
      </c>
      <c r="K42" s="724">
        <f t="shared" si="2"/>
        <v>0</v>
      </c>
      <c r="L42" s="724">
        <f t="shared" si="2"/>
        <v>0</v>
      </c>
      <c r="M42" s="724">
        <f t="shared" si="2"/>
        <v>0</v>
      </c>
      <c r="N42" s="724">
        <f t="shared" si="2"/>
        <v>0</v>
      </c>
      <c r="O42" s="724">
        <f t="shared" si="2"/>
        <v>0</v>
      </c>
      <c r="P42" s="724">
        <f t="shared" si="2"/>
        <v>0</v>
      </c>
      <c r="Q42" s="724">
        <f t="shared" si="2"/>
        <v>0</v>
      </c>
      <c r="R42" s="724">
        <f t="shared" si="2"/>
        <v>0</v>
      </c>
      <c r="S42" s="724">
        <f t="shared" si="2"/>
        <v>0</v>
      </c>
      <c r="T42" s="724">
        <f t="shared" si="2"/>
        <v>0</v>
      </c>
      <c r="U42" s="724">
        <f t="shared" si="2"/>
        <v>0</v>
      </c>
      <c r="V42" s="724">
        <f t="shared" si="2"/>
        <v>0</v>
      </c>
      <c r="W42" s="724">
        <f t="shared" si="2"/>
        <v>0</v>
      </c>
      <c r="X42" s="724">
        <f t="shared" si="2"/>
        <v>0</v>
      </c>
      <c r="Y42" s="724">
        <f t="shared" si="2"/>
        <v>0</v>
      </c>
      <c r="Z42" s="724">
        <f t="shared" si="2"/>
        <v>0</v>
      </c>
      <c r="AA42" s="724">
        <f t="shared" si="2"/>
        <v>0</v>
      </c>
      <c r="AB42" s="724">
        <f t="shared" si="2"/>
        <v>0</v>
      </c>
      <c r="AC42" s="724">
        <f t="shared" si="2"/>
        <v>0</v>
      </c>
      <c r="AD42" s="724">
        <f t="shared" si="2"/>
        <v>0</v>
      </c>
      <c r="AE42" s="724">
        <f t="shared" si="2"/>
        <v>0</v>
      </c>
      <c r="AF42" s="724">
        <f t="shared" si="2"/>
        <v>0</v>
      </c>
      <c r="AG42" s="724">
        <f t="shared" si="2"/>
        <v>0</v>
      </c>
      <c r="AH42" s="724">
        <f t="shared" si="2"/>
        <v>0</v>
      </c>
      <c r="AI42" s="724">
        <f t="shared" si="2"/>
        <v>0</v>
      </c>
      <c r="AJ42" s="724">
        <f t="shared" si="2"/>
        <v>0</v>
      </c>
      <c r="AK42" s="724">
        <f t="shared" si="2"/>
        <v>0</v>
      </c>
      <c r="AL42" s="724">
        <f t="shared" si="2"/>
        <v>0</v>
      </c>
      <c r="AM42" s="724">
        <f t="shared" si="2"/>
        <v>0</v>
      </c>
      <c r="AN42" s="724">
        <f t="shared" si="2"/>
        <v>0</v>
      </c>
      <c r="AO42" s="724">
        <f t="shared" si="2"/>
        <v>0</v>
      </c>
      <c r="AP42" s="724">
        <f t="shared" si="2"/>
        <v>0</v>
      </c>
      <c r="AQ42" s="724">
        <f t="shared" si="2"/>
        <v>0</v>
      </c>
      <c r="AR42" s="724">
        <f t="shared" si="2"/>
        <v>0</v>
      </c>
      <c r="AS42" s="724">
        <f t="shared" si="2"/>
        <v>0</v>
      </c>
      <c r="AT42" s="724">
        <f t="shared" si="2"/>
        <v>0</v>
      </c>
      <c r="AU42" s="725">
        <f t="shared" si="2"/>
        <v>0</v>
      </c>
    </row>
    <row r="43" spans="1:49" s="15" customFormat="1" ht="13.5" outlineLevel="1" x14ac:dyDescent="0.25">
      <c r="B43" s="431" t="s">
        <v>1148</v>
      </c>
      <c r="C43" s="717">
        <f>$C$14/$C$9*$G$13*C38/1000</f>
        <v>3250</v>
      </c>
      <c r="D43" s="717">
        <f t="shared" ref="D43:AU43" si="3">$C$14/$C$9*$G$13*(D38+D39)/1000</f>
        <v>3250</v>
      </c>
      <c r="E43" s="717">
        <f t="shared" si="3"/>
        <v>0</v>
      </c>
      <c r="F43" s="717">
        <f t="shared" si="3"/>
        <v>0</v>
      </c>
      <c r="G43" s="717">
        <f t="shared" si="3"/>
        <v>0</v>
      </c>
      <c r="H43" s="717">
        <f t="shared" si="3"/>
        <v>0</v>
      </c>
      <c r="I43" s="717">
        <f t="shared" si="3"/>
        <v>0</v>
      </c>
      <c r="J43" s="717">
        <f t="shared" si="3"/>
        <v>0</v>
      </c>
      <c r="K43" s="717">
        <f t="shared" si="3"/>
        <v>0</v>
      </c>
      <c r="L43" s="717">
        <f t="shared" si="3"/>
        <v>0</v>
      </c>
      <c r="M43" s="717">
        <f t="shared" si="3"/>
        <v>0</v>
      </c>
      <c r="N43" s="717">
        <f t="shared" si="3"/>
        <v>0</v>
      </c>
      <c r="O43" s="717">
        <f t="shared" si="3"/>
        <v>0</v>
      </c>
      <c r="P43" s="717">
        <f t="shared" si="3"/>
        <v>0</v>
      </c>
      <c r="Q43" s="717">
        <f t="shared" si="3"/>
        <v>0</v>
      </c>
      <c r="R43" s="717">
        <f t="shared" si="3"/>
        <v>0</v>
      </c>
      <c r="S43" s="717">
        <f t="shared" si="3"/>
        <v>0</v>
      </c>
      <c r="T43" s="717">
        <f t="shared" si="3"/>
        <v>0</v>
      </c>
      <c r="U43" s="717">
        <f t="shared" si="3"/>
        <v>0</v>
      </c>
      <c r="V43" s="717">
        <f t="shared" si="3"/>
        <v>3250</v>
      </c>
      <c r="W43" s="717">
        <f t="shared" si="3"/>
        <v>3250</v>
      </c>
      <c r="X43" s="717">
        <f t="shared" si="3"/>
        <v>3250</v>
      </c>
      <c r="Y43" s="717">
        <f t="shared" si="3"/>
        <v>3250</v>
      </c>
      <c r="Z43" s="717">
        <f t="shared" si="3"/>
        <v>3250</v>
      </c>
      <c r="AA43" s="717">
        <f t="shared" si="3"/>
        <v>0</v>
      </c>
      <c r="AB43" s="717">
        <f t="shared" si="3"/>
        <v>0</v>
      </c>
      <c r="AC43" s="717">
        <f t="shared" si="3"/>
        <v>0</v>
      </c>
      <c r="AD43" s="717">
        <f t="shared" si="3"/>
        <v>0</v>
      </c>
      <c r="AE43" s="717">
        <f t="shared" si="3"/>
        <v>0</v>
      </c>
      <c r="AF43" s="717">
        <f t="shared" si="3"/>
        <v>0</v>
      </c>
      <c r="AG43" s="717">
        <f t="shared" si="3"/>
        <v>0</v>
      </c>
      <c r="AH43" s="717">
        <f t="shared" si="3"/>
        <v>0</v>
      </c>
      <c r="AI43" s="717">
        <f t="shared" si="3"/>
        <v>0</v>
      </c>
      <c r="AJ43" s="717">
        <f t="shared" si="3"/>
        <v>0</v>
      </c>
      <c r="AK43" s="717">
        <f t="shared" si="3"/>
        <v>0</v>
      </c>
      <c r="AL43" s="717">
        <f t="shared" si="3"/>
        <v>0</v>
      </c>
      <c r="AM43" s="717">
        <f t="shared" si="3"/>
        <v>0</v>
      </c>
      <c r="AN43" s="717">
        <f t="shared" si="3"/>
        <v>3250</v>
      </c>
      <c r="AO43" s="717">
        <f t="shared" si="3"/>
        <v>3250</v>
      </c>
      <c r="AP43" s="717">
        <f t="shared" si="3"/>
        <v>3250</v>
      </c>
      <c r="AQ43" s="717">
        <f t="shared" si="3"/>
        <v>3250</v>
      </c>
      <c r="AR43" s="717">
        <f t="shared" si="3"/>
        <v>3250</v>
      </c>
      <c r="AS43" s="717">
        <f t="shared" si="3"/>
        <v>0</v>
      </c>
      <c r="AT43" s="717">
        <f t="shared" si="3"/>
        <v>0</v>
      </c>
      <c r="AU43" s="718">
        <f t="shared" si="3"/>
        <v>0</v>
      </c>
    </row>
    <row r="44" spans="1:49" s="15" customFormat="1" ht="13.5" outlineLevel="1" x14ac:dyDescent="0.25">
      <c r="B44" s="723" t="s">
        <v>1149</v>
      </c>
      <c r="C44" s="724">
        <f>$C$14/$C$9*$G$12*C38/1000</f>
        <v>1625</v>
      </c>
      <c r="D44" s="724">
        <f t="shared" ref="D44:AU44" si="4">$C$14/$C$9*$G$12*(D38+D40)/1000</f>
        <v>1625</v>
      </c>
      <c r="E44" s="724">
        <f t="shared" si="4"/>
        <v>0</v>
      </c>
      <c r="F44" s="724">
        <f t="shared" si="4"/>
        <v>0</v>
      </c>
      <c r="G44" s="724">
        <f t="shared" si="4"/>
        <v>0</v>
      </c>
      <c r="H44" s="724">
        <f t="shared" si="4"/>
        <v>0</v>
      </c>
      <c r="I44" s="724">
        <f t="shared" si="4"/>
        <v>1625</v>
      </c>
      <c r="J44" s="724">
        <f t="shared" si="4"/>
        <v>1625</v>
      </c>
      <c r="K44" s="724">
        <f t="shared" si="4"/>
        <v>1625</v>
      </c>
      <c r="L44" s="724">
        <f t="shared" si="4"/>
        <v>1625</v>
      </c>
      <c r="M44" s="724">
        <f t="shared" si="4"/>
        <v>1625</v>
      </c>
      <c r="N44" s="724">
        <f t="shared" si="4"/>
        <v>1625</v>
      </c>
      <c r="O44" s="724">
        <f t="shared" si="4"/>
        <v>1625</v>
      </c>
      <c r="P44" s="724">
        <f t="shared" si="4"/>
        <v>1625</v>
      </c>
      <c r="Q44" s="724">
        <f t="shared" si="4"/>
        <v>1625</v>
      </c>
      <c r="R44" s="724">
        <f t="shared" si="4"/>
        <v>1625</v>
      </c>
      <c r="S44" s="724">
        <f t="shared" si="4"/>
        <v>1625</v>
      </c>
      <c r="T44" s="724">
        <f t="shared" si="4"/>
        <v>1625</v>
      </c>
      <c r="U44" s="724">
        <f t="shared" si="4"/>
        <v>1625</v>
      </c>
      <c r="V44" s="724">
        <f t="shared" si="4"/>
        <v>1625</v>
      </c>
      <c r="W44" s="724">
        <f t="shared" si="4"/>
        <v>1625</v>
      </c>
      <c r="X44" s="724">
        <f t="shared" si="4"/>
        <v>1625</v>
      </c>
      <c r="Y44" s="724">
        <f t="shared" si="4"/>
        <v>1625</v>
      </c>
      <c r="Z44" s="724">
        <f t="shared" si="4"/>
        <v>1625</v>
      </c>
      <c r="AA44" s="724">
        <f t="shared" si="4"/>
        <v>1625</v>
      </c>
      <c r="AB44" s="724">
        <f t="shared" si="4"/>
        <v>1625</v>
      </c>
      <c r="AC44" s="724">
        <f t="shared" si="4"/>
        <v>1625</v>
      </c>
      <c r="AD44" s="724">
        <f t="shared" si="4"/>
        <v>1625</v>
      </c>
      <c r="AE44" s="724">
        <f t="shared" si="4"/>
        <v>1625</v>
      </c>
      <c r="AF44" s="724">
        <f t="shared" si="4"/>
        <v>1625</v>
      </c>
      <c r="AG44" s="724">
        <f t="shared" si="4"/>
        <v>1625</v>
      </c>
      <c r="AH44" s="724">
        <f t="shared" si="4"/>
        <v>1625</v>
      </c>
      <c r="AI44" s="724">
        <f t="shared" si="4"/>
        <v>1625</v>
      </c>
      <c r="AJ44" s="724">
        <f t="shared" si="4"/>
        <v>1625</v>
      </c>
      <c r="AK44" s="724">
        <f t="shared" si="4"/>
        <v>1625</v>
      </c>
      <c r="AL44" s="724">
        <f t="shared" si="4"/>
        <v>1625</v>
      </c>
      <c r="AM44" s="724">
        <f t="shared" si="4"/>
        <v>1625</v>
      </c>
      <c r="AN44" s="724">
        <f t="shared" si="4"/>
        <v>1625</v>
      </c>
      <c r="AO44" s="724">
        <f t="shared" si="4"/>
        <v>1625</v>
      </c>
      <c r="AP44" s="724">
        <f t="shared" si="4"/>
        <v>1625</v>
      </c>
      <c r="AQ44" s="724">
        <f t="shared" si="4"/>
        <v>1625</v>
      </c>
      <c r="AR44" s="724">
        <f t="shared" si="4"/>
        <v>1625</v>
      </c>
      <c r="AS44" s="724">
        <f t="shared" si="4"/>
        <v>1625</v>
      </c>
      <c r="AT44" s="724">
        <f t="shared" si="4"/>
        <v>1625</v>
      </c>
      <c r="AU44" s="725">
        <f t="shared" si="4"/>
        <v>1625</v>
      </c>
    </row>
    <row r="45" spans="1:49" s="15" customFormat="1" ht="13.5" outlineLevel="1" x14ac:dyDescent="0.25">
      <c r="B45" s="431" t="s">
        <v>1150</v>
      </c>
      <c r="C45" s="717">
        <f>-C49*$C$16/1000</f>
        <v>0</v>
      </c>
      <c r="D45" s="717">
        <f t="shared" ref="D45:P45" si="5">-D49*$C$16/1000</f>
        <v>-936</v>
      </c>
      <c r="E45" s="717">
        <f t="shared" si="5"/>
        <v>-1872</v>
      </c>
      <c r="F45" s="717">
        <f t="shared" si="5"/>
        <v>-1872</v>
      </c>
      <c r="G45" s="717">
        <f t="shared" si="5"/>
        <v>-1872</v>
      </c>
      <c r="H45" s="717">
        <f t="shared" si="5"/>
        <v>-1872</v>
      </c>
      <c r="I45" s="717">
        <f t="shared" si="5"/>
        <v>-1872</v>
      </c>
      <c r="J45" s="717">
        <f t="shared" si="5"/>
        <v>-1872</v>
      </c>
      <c r="K45" s="717">
        <f t="shared" si="5"/>
        <v>-1872</v>
      </c>
      <c r="L45" s="717">
        <f t="shared" si="5"/>
        <v>-1872</v>
      </c>
      <c r="M45" s="717">
        <f t="shared" si="5"/>
        <v>-1872</v>
      </c>
      <c r="N45" s="717">
        <f t="shared" si="5"/>
        <v>-1872</v>
      </c>
      <c r="O45" s="717">
        <f t="shared" si="5"/>
        <v>-1872</v>
      </c>
      <c r="P45" s="717">
        <f t="shared" si="5"/>
        <v>-1872</v>
      </c>
      <c r="Q45" s="717">
        <f t="shared" ref="Q45:AU45" si="6">-Q49*$C$16/1000</f>
        <v>-1872</v>
      </c>
      <c r="R45" s="717">
        <f t="shared" si="6"/>
        <v>-1872</v>
      </c>
      <c r="S45" s="717">
        <f t="shared" si="6"/>
        <v>-1872</v>
      </c>
      <c r="T45" s="717">
        <f t="shared" si="6"/>
        <v>-1872</v>
      </c>
      <c r="U45" s="717">
        <f t="shared" si="6"/>
        <v>-1872</v>
      </c>
      <c r="V45" s="717">
        <f t="shared" si="6"/>
        <v>-1872</v>
      </c>
      <c r="W45" s="717">
        <f t="shared" si="6"/>
        <v>-1872</v>
      </c>
      <c r="X45" s="717">
        <f t="shared" si="6"/>
        <v>-1872</v>
      </c>
      <c r="Y45" s="717">
        <f t="shared" si="6"/>
        <v>-1872</v>
      </c>
      <c r="Z45" s="717">
        <f t="shared" si="6"/>
        <v>-1872</v>
      </c>
      <c r="AA45" s="717">
        <f t="shared" si="6"/>
        <v>-1872</v>
      </c>
      <c r="AB45" s="717">
        <f t="shared" si="6"/>
        <v>-1872</v>
      </c>
      <c r="AC45" s="717">
        <f t="shared" si="6"/>
        <v>-1872</v>
      </c>
      <c r="AD45" s="717">
        <f t="shared" si="6"/>
        <v>-1872</v>
      </c>
      <c r="AE45" s="717">
        <f t="shared" si="6"/>
        <v>-1872</v>
      </c>
      <c r="AF45" s="717">
        <f t="shared" si="6"/>
        <v>-1872</v>
      </c>
      <c r="AG45" s="717">
        <f t="shared" si="6"/>
        <v>-1872</v>
      </c>
      <c r="AH45" s="717">
        <f t="shared" si="6"/>
        <v>-1872</v>
      </c>
      <c r="AI45" s="717">
        <f t="shared" si="6"/>
        <v>-1872</v>
      </c>
      <c r="AJ45" s="717">
        <f t="shared" si="6"/>
        <v>-1872</v>
      </c>
      <c r="AK45" s="717">
        <f t="shared" si="6"/>
        <v>-1872</v>
      </c>
      <c r="AL45" s="717">
        <f t="shared" si="6"/>
        <v>-1872</v>
      </c>
      <c r="AM45" s="717">
        <f t="shared" si="6"/>
        <v>-1872</v>
      </c>
      <c r="AN45" s="717">
        <f t="shared" si="6"/>
        <v>-1872</v>
      </c>
      <c r="AO45" s="717">
        <f t="shared" si="6"/>
        <v>-1872</v>
      </c>
      <c r="AP45" s="717">
        <f t="shared" si="6"/>
        <v>-1872</v>
      </c>
      <c r="AQ45" s="717">
        <f t="shared" si="6"/>
        <v>-1872</v>
      </c>
      <c r="AR45" s="717">
        <f t="shared" si="6"/>
        <v>-1872</v>
      </c>
      <c r="AS45" s="717">
        <f t="shared" si="6"/>
        <v>-1872</v>
      </c>
      <c r="AT45" s="717">
        <f t="shared" si="6"/>
        <v>-1872</v>
      </c>
      <c r="AU45" s="718">
        <f t="shared" si="6"/>
        <v>-1872</v>
      </c>
    </row>
    <row r="46" spans="1:49" s="15" customFormat="1" ht="13.5" outlineLevel="1" x14ac:dyDescent="0.25">
      <c r="B46" s="696" t="s">
        <v>1114</v>
      </c>
      <c r="C46" s="729">
        <f>C42+C43-C44+C45</f>
        <v>8125</v>
      </c>
      <c r="D46" s="729">
        <f t="shared" ref="D46:P46" si="7">D42+D43-D44+D45</f>
        <v>7189</v>
      </c>
      <c r="E46" s="729">
        <f t="shared" si="7"/>
        <v>-1872</v>
      </c>
      <c r="F46" s="729">
        <f t="shared" si="7"/>
        <v>-1872</v>
      </c>
      <c r="G46" s="729">
        <f t="shared" si="7"/>
        <v>-1872</v>
      </c>
      <c r="H46" s="729">
        <f t="shared" si="7"/>
        <v>-1872</v>
      </c>
      <c r="I46" s="729">
        <f t="shared" si="7"/>
        <v>-3497</v>
      </c>
      <c r="J46" s="729">
        <f t="shared" si="7"/>
        <v>-3497</v>
      </c>
      <c r="K46" s="729">
        <f t="shared" si="7"/>
        <v>-3497</v>
      </c>
      <c r="L46" s="729">
        <f t="shared" si="7"/>
        <v>-3497</v>
      </c>
      <c r="M46" s="729">
        <f t="shared" si="7"/>
        <v>-3497</v>
      </c>
      <c r="N46" s="729">
        <f t="shared" si="7"/>
        <v>-3497</v>
      </c>
      <c r="O46" s="729">
        <f t="shared" si="7"/>
        <v>-3497</v>
      </c>
      <c r="P46" s="729">
        <f t="shared" si="7"/>
        <v>-3497</v>
      </c>
      <c r="Q46" s="729">
        <f t="shared" ref="Q46" si="8">Q42+Q43-Q44+Q45</f>
        <v>-3497</v>
      </c>
      <c r="R46" s="729">
        <f t="shared" ref="R46" si="9">R42+R43-R44+R45</f>
        <v>-3497</v>
      </c>
      <c r="S46" s="729">
        <f t="shared" ref="S46" si="10">S42+S43-S44+S45</f>
        <v>-3497</v>
      </c>
      <c r="T46" s="729">
        <f t="shared" ref="T46" si="11">T42+T43-T44+T45</f>
        <v>-3497</v>
      </c>
      <c r="U46" s="729">
        <f t="shared" ref="U46" si="12">U42+U43-U44+U45</f>
        <v>-3497</v>
      </c>
      <c r="V46" s="729">
        <f t="shared" ref="V46" si="13">V42+V43-V44+V45</f>
        <v>-247</v>
      </c>
      <c r="W46" s="729">
        <f t="shared" ref="W46" si="14">W42+W43-W44+W45</f>
        <v>-247</v>
      </c>
      <c r="X46" s="729">
        <f t="shared" ref="X46" si="15">X42+X43-X44+X45</f>
        <v>-247</v>
      </c>
      <c r="Y46" s="729">
        <f t="shared" ref="Y46" si="16">Y42+Y43-Y44+Y45</f>
        <v>-247</v>
      </c>
      <c r="Z46" s="729">
        <f t="shared" ref="Z46" si="17">Z42+Z43-Z44+Z45</f>
        <v>-247</v>
      </c>
      <c r="AA46" s="729">
        <f t="shared" ref="AA46" si="18">AA42+AA43-AA44+AA45</f>
        <v>-3497</v>
      </c>
      <c r="AB46" s="729">
        <f t="shared" ref="AB46:AC46" si="19">AB42+AB43-AB44+AB45</f>
        <v>-3497</v>
      </c>
      <c r="AC46" s="729">
        <f t="shared" si="19"/>
        <v>-3497</v>
      </c>
      <c r="AD46" s="729">
        <f t="shared" ref="AD46" si="20">AD42+AD43-AD44+AD45</f>
        <v>-3497</v>
      </c>
      <c r="AE46" s="729">
        <f t="shared" ref="AE46" si="21">AE42+AE43-AE44+AE45</f>
        <v>-3497</v>
      </c>
      <c r="AF46" s="729">
        <f t="shared" ref="AF46" si="22">AF42+AF43-AF44+AF45</f>
        <v>-3497</v>
      </c>
      <c r="AG46" s="729">
        <f t="shared" ref="AG46" si="23">AG42+AG43-AG44+AG45</f>
        <v>-3497</v>
      </c>
      <c r="AH46" s="729">
        <f t="shared" ref="AH46" si="24">AH42+AH43-AH44+AH45</f>
        <v>-3497</v>
      </c>
      <c r="AI46" s="729">
        <f t="shared" ref="AI46" si="25">AI42+AI43-AI44+AI45</f>
        <v>-3497</v>
      </c>
      <c r="AJ46" s="729">
        <f t="shared" ref="AJ46" si="26">AJ42+AJ43-AJ44+AJ45</f>
        <v>-3497</v>
      </c>
      <c r="AK46" s="729">
        <f t="shared" ref="AK46" si="27">AK42+AK43-AK44+AK45</f>
        <v>-3497</v>
      </c>
      <c r="AL46" s="729">
        <f t="shared" ref="AL46" si="28">AL42+AL43-AL44+AL45</f>
        <v>-3497</v>
      </c>
      <c r="AM46" s="729">
        <f t="shared" ref="AM46" si="29">AM42+AM43-AM44+AM45</f>
        <v>-3497</v>
      </c>
      <c r="AN46" s="729">
        <f t="shared" ref="AN46" si="30">AN42+AN43-AN44+AN45</f>
        <v>-247</v>
      </c>
      <c r="AO46" s="729">
        <f t="shared" ref="AO46:AP46" si="31">AO42+AO43-AO44+AO45</f>
        <v>-247</v>
      </c>
      <c r="AP46" s="729">
        <f t="shared" si="31"/>
        <v>-247</v>
      </c>
      <c r="AQ46" s="729">
        <f t="shared" ref="AQ46" si="32">AQ42+AQ43-AQ44+AQ45</f>
        <v>-247</v>
      </c>
      <c r="AR46" s="729">
        <f t="shared" ref="AR46" si="33">AR42+AR43-AR44+AR45</f>
        <v>-247</v>
      </c>
      <c r="AS46" s="729">
        <f t="shared" ref="AS46" si="34">AS42+AS43-AS44+AS45</f>
        <v>-3497</v>
      </c>
      <c r="AT46" s="729">
        <f t="shared" ref="AT46" si="35">AT42+AT43-AT44+AT45</f>
        <v>-3497</v>
      </c>
      <c r="AU46" s="747">
        <f t="shared" ref="AU46" si="36">AU42+AU43-AU44+AU45</f>
        <v>-3497</v>
      </c>
    </row>
    <row r="47" spans="1:49" s="15" customFormat="1" ht="13.5" outlineLevel="1" x14ac:dyDescent="0.25">
      <c r="B47" s="431" t="s">
        <v>1151</v>
      </c>
      <c r="C47" s="717">
        <f t="shared" ref="C47:AU47" si="37">IF(C37&lt;$C$7,0,IF(AND(C37&gt;$C$7-1,C37&lt;$C$8+1),$C$14/$C$9*(D37-$C$7-1)*$C$15*$D$13/1000000,$C$14*$C$15*$D$13/1000000))</f>
        <v>0</v>
      </c>
      <c r="D47" s="717">
        <f t="shared" si="37"/>
        <v>5265</v>
      </c>
      <c r="E47" s="717">
        <f t="shared" si="37"/>
        <v>10530</v>
      </c>
      <c r="F47" s="717">
        <f t="shared" si="37"/>
        <v>10530</v>
      </c>
      <c r="G47" s="717">
        <f t="shared" si="37"/>
        <v>10530</v>
      </c>
      <c r="H47" s="717">
        <f t="shared" si="37"/>
        <v>10530</v>
      </c>
      <c r="I47" s="717">
        <f t="shared" si="37"/>
        <v>10530</v>
      </c>
      <c r="J47" s="717">
        <f t="shared" si="37"/>
        <v>10530</v>
      </c>
      <c r="K47" s="717">
        <f t="shared" si="37"/>
        <v>10530</v>
      </c>
      <c r="L47" s="717">
        <f t="shared" si="37"/>
        <v>10530</v>
      </c>
      <c r="M47" s="717">
        <f t="shared" si="37"/>
        <v>10530</v>
      </c>
      <c r="N47" s="717">
        <f t="shared" si="37"/>
        <v>10530</v>
      </c>
      <c r="O47" s="717">
        <f t="shared" si="37"/>
        <v>10530</v>
      </c>
      <c r="P47" s="717">
        <f t="shared" si="37"/>
        <v>10530</v>
      </c>
      <c r="Q47" s="717">
        <f t="shared" si="37"/>
        <v>10530</v>
      </c>
      <c r="R47" s="717">
        <f t="shared" si="37"/>
        <v>10530</v>
      </c>
      <c r="S47" s="717">
        <f t="shared" si="37"/>
        <v>10530</v>
      </c>
      <c r="T47" s="717">
        <f t="shared" si="37"/>
        <v>10530</v>
      </c>
      <c r="U47" s="717">
        <f t="shared" si="37"/>
        <v>10530</v>
      </c>
      <c r="V47" s="717">
        <f t="shared" si="37"/>
        <v>10530</v>
      </c>
      <c r="W47" s="717">
        <f t="shared" si="37"/>
        <v>10530</v>
      </c>
      <c r="X47" s="717">
        <f t="shared" si="37"/>
        <v>10530</v>
      </c>
      <c r="Y47" s="717">
        <f t="shared" si="37"/>
        <v>10530</v>
      </c>
      <c r="Z47" s="717">
        <f t="shared" si="37"/>
        <v>10530</v>
      </c>
      <c r="AA47" s="717">
        <f t="shared" si="37"/>
        <v>10530</v>
      </c>
      <c r="AB47" s="717">
        <f t="shared" si="37"/>
        <v>10530</v>
      </c>
      <c r="AC47" s="717">
        <f t="shared" si="37"/>
        <v>10530</v>
      </c>
      <c r="AD47" s="717">
        <f t="shared" si="37"/>
        <v>10530</v>
      </c>
      <c r="AE47" s="717">
        <f t="shared" si="37"/>
        <v>10530</v>
      </c>
      <c r="AF47" s="717">
        <f t="shared" si="37"/>
        <v>10530</v>
      </c>
      <c r="AG47" s="717">
        <f t="shared" si="37"/>
        <v>10530</v>
      </c>
      <c r="AH47" s="717">
        <f t="shared" si="37"/>
        <v>10530</v>
      </c>
      <c r="AI47" s="717">
        <f t="shared" si="37"/>
        <v>10530</v>
      </c>
      <c r="AJ47" s="717">
        <f t="shared" si="37"/>
        <v>10530</v>
      </c>
      <c r="AK47" s="717">
        <f t="shared" si="37"/>
        <v>10530</v>
      </c>
      <c r="AL47" s="717">
        <f t="shared" si="37"/>
        <v>10530</v>
      </c>
      <c r="AM47" s="717">
        <f t="shared" si="37"/>
        <v>10530</v>
      </c>
      <c r="AN47" s="717">
        <f t="shared" si="37"/>
        <v>10530</v>
      </c>
      <c r="AO47" s="717">
        <f t="shared" si="37"/>
        <v>10530</v>
      </c>
      <c r="AP47" s="717">
        <f t="shared" si="37"/>
        <v>10530</v>
      </c>
      <c r="AQ47" s="717">
        <f t="shared" si="37"/>
        <v>10530</v>
      </c>
      <c r="AR47" s="717">
        <f t="shared" si="37"/>
        <v>10530</v>
      </c>
      <c r="AS47" s="717">
        <f t="shared" si="37"/>
        <v>10530</v>
      </c>
      <c r="AT47" s="717">
        <f t="shared" si="37"/>
        <v>10530</v>
      </c>
      <c r="AU47" s="718">
        <f t="shared" si="37"/>
        <v>10530</v>
      </c>
    </row>
    <row r="48" spans="1:49" s="15" customFormat="1" ht="13.5" outlineLevel="1" x14ac:dyDescent="0.25">
      <c r="B48" s="723" t="s">
        <v>1152</v>
      </c>
      <c r="C48" s="724">
        <f>IF(C37&lt;$C$7,0,IF(AND(C37&gt;$C$7-1,C37&lt;$C$8+1),$C$14/$C$9*(D37-$C$7-1)*$C$15*$D$12/1000000,$C$14*$C$15*$D$12/1000000))</f>
        <v>0</v>
      </c>
      <c r="D48" s="724">
        <f t="shared" ref="D48:O48" si="38">IF(D37&lt;$C$7,0,IF(AND(D37&gt;$C$7-1,D37&lt;$C$8+1),$C$14/$C$9*(E37-$C$7-1)*$C$15*$D$12/1000000,$C$14*$C$15*$D$12/1000000))</f>
        <v>14625</v>
      </c>
      <c r="E48" s="724">
        <f t="shared" si="38"/>
        <v>29250</v>
      </c>
      <c r="F48" s="724">
        <f t="shared" si="38"/>
        <v>29250</v>
      </c>
      <c r="G48" s="724">
        <f t="shared" si="38"/>
        <v>29250</v>
      </c>
      <c r="H48" s="724">
        <f t="shared" si="38"/>
        <v>29250</v>
      </c>
      <c r="I48" s="724">
        <f t="shared" si="38"/>
        <v>29250</v>
      </c>
      <c r="J48" s="724">
        <f t="shared" si="38"/>
        <v>29250</v>
      </c>
      <c r="K48" s="724">
        <f t="shared" si="38"/>
        <v>29250</v>
      </c>
      <c r="L48" s="724">
        <f t="shared" si="38"/>
        <v>29250</v>
      </c>
      <c r="M48" s="724">
        <f t="shared" si="38"/>
        <v>29250</v>
      </c>
      <c r="N48" s="724">
        <f t="shared" si="38"/>
        <v>29250</v>
      </c>
      <c r="O48" s="724">
        <f t="shared" si="38"/>
        <v>29250</v>
      </c>
      <c r="P48" s="724">
        <f t="shared" ref="P48:AU48" si="39">IF(P37&lt;$C$7,0,IF(AND(P37&gt;$C$7-1,P37&lt;$C$8+1),$C$14/$C$9*(Q37-$C$7-1)*$C$15*$D$12/1000000,$C$14*$C$15*$D$12/1000000))</f>
        <v>29250</v>
      </c>
      <c r="Q48" s="724">
        <f t="shared" si="39"/>
        <v>29250</v>
      </c>
      <c r="R48" s="724">
        <f t="shared" si="39"/>
        <v>29250</v>
      </c>
      <c r="S48" s="724">
        <f t="shared" si="39"/>
        <v>29250</v>
      </c>
      <c r="T48" s="724">
        <f t="shared" si="39"/>
        <v>29250</v>
      </c>
      <c r="U48" s="724">
        <f t="shared" si="39"/>
        <v>29250</v>
      </c>
      <c r="V48" s="724">
        <f t="shared" si="39"/>
        <v>29250</v>
      </c>
      <c r="W48" s="724">
        <f t="shared" si="39"/>
        <v>29250</v>
      </c>
      <c r="X48" s="724">
        <f t="shared" si="39"/>
        <v>29250</v>
      </c>
      <c r="Y48" s="724">
        <f t="shared" si="39"/>
        <v>29250</v>
      </c>
      <c r="Z48" s="724">
        <f t="shared" si="39"/>
        <v>29250</v>
      </c>
      <c r="AA48" s="724">
        <f t="shared" si="39"/>
        <v>29250</v>
      </c>
      <c r="AB48" s="724">
        <f t="shared" si="39"/>
        <v>29250</v>
      </c>
      <c r="AC48" s="724">
        <f t="shared" si="39"/>
        <v>29250</v>
      </c>
      <c r="AD48" s="724">
        <f t="shared" si="39"/>
        <v>29250</v>
      </c>
      <c r="AE48" s="724">
        <f t="shared" si="39"/>
        <v>29250</v>
      </c>
      <c r="AF48" s="724">
        <f t="shared" si="39"/>
        <v>29250</v>
      </c>
      <c r="AG48" s="724">
        <f t="shared" si="39"/>
        <v>29250</v>
      </c>
      <c r="AH48" s="724">
        <f t="shared" si="39"/>
        <v>29250</v>
      </c>
      <c r="AI48" s="724">
        <f t="shared" si="39"/>
        <v>29250</v>
      </c>
      <c r="AJ48" s="724">
        <f t="shared" si="39"/>
        <v>29250</v>
      </c>
      <c r="AK48" s="724">
        <f t="shared" si="39"/>
        <v>29250</v>
      </c>
      <c r="AL48" s="724">
        <f t="shared" si="39"/>
        <v>29250</v>
      </c>
      <c r="AM48" s="724">
        <f t="shared" si="39"/>
        <v>29250</v>
      </c>
      <c r="AN48" s="724">
        <f t="shared" si="39"/>
        <v>29250</v>
      </c>
      <c r="AO48" s="724">
        <f t="shared" si="39"/>
        <v>29250</v>
      </c>
      <c r="AP48" s="724">
        <f t="shared" si="39"/>
        <v>29250</v>
      </c>
      <c r="AQ48" s="724">
        <f t="shared" si="39"/>
        <v>29250</v>
      </c>
      <c r="AR48" s="724">
        <f t="shared" si="39"/>
        <v>29250</v>
      </c>
      <c r="AS48" s="724">
        <f t="shared" si="39"/>
        <v>29250</v>
      </c>
      <c r="AT48" s="724">
        <f t="shared" si="39"/>
        <v>29250</v>
      </c>
      <c r="AU48" s="725">
        <f t="shared" si="39"/>
        <v>29250</v>
      </c>
    </row>
    <row r="49" spans="2:47" s="39" customFormat="1" ht="13.5" outlineLevel="1" x14ac:dyDescent="0.25">
      <c r="B49" s="715" t="s">
        <v>1153</v>
      </c>
      <c r="C49" s="720">
        <f>C48-C47</f>
        <v>0</v>
      </c>
      <c r="D49" s="720">
        <f t="shared" ref="D49:O49" si="40">D48-D47</f>
        <v>9360</v>
      </c>
      <c r="E49" s="720">
        <f t="shared" si="40"/>
        <v>18720</v>
      </c>
      <c r="F49" s="720">
        <f t="shared" si="40"/>
        <v>18720</v>
      </c>
      <c r="G49" s="720">
        <f t="shared" si="40"/>
        <v>18720</v>
      </c>
      <c r="H49" s="720">
        <f t="shared" si="40"/>
        <v>18720</v>
      </c>
      <c r="I49" s="720">
        <f t="shared" si="40"/>
        <v>18720</v>
      </c>
      <c r="J49" s="720">
        <f t="shared" si="40"/>
        <v>18720</v>
      </c>
      <c r="K49" s="720">
        <f t="shared" si="40"/>
        <v>18720</v>
      </c>
      <c r="L49" s="720">
        <f t="shared" si="40"/>
        <v>18720</v>
      </c>
      <c r="M49" s="720">
        <f t="shared" si="40"/>
        <v>18720</v>
      </c>
      <c r="N49" s="720">
        <f t="shared" si="40"/>
        <v>18720</v>
      </c>
      <c r="O49" s="720">
        <f t="shared" si="40"/>
        <v>18720</v>
      </c>
      <c r="P49" s="720">
        <f t="shared" ref="P49" si="41">P48-P47</f>
        <v>18720</v>
      </c>
      <c r="Q49" s="720">
        <f t="shared" ref="Q49" si="42">Q48-Q47</f>
        <v>18720</v>
      </c>
      <c r="R49" s="720">
        <f t="shared" ref="R49" si="43">R48-R47</f>
        <v>18720</v>
      </c>
      <c r="S49" s="720">
        <f t="shared" ref="S49" si="44">S48-S47</f>
        <v>18720</v>
      </c>
      <c r="T49" s="720">
        <f t="shared" ref="T49" si="45">T48-T47</f>
        <v>18720</v>
      </c>
      <c r="U49" s="720">
        <f t="shared" ref="U49" si="46">U48-U47</f>
        <v>18720</v>
      </c>
      <c r="V49" s="720">
        <f t="shared" ref="V49" si="47">V48-V47</f>
        <v>18720</v>
      </c>
      <c r="W49" s="720">
        <f t="shared" ref="W49" si="48">W48-W47</f>
        <v>18720</v>
      </c>
      <c r="X49" s="720">
        <f t="shared" ref="X49" si="49">X48-X47</f>
        <v>18720</v>
      </c>
      <c r="Y49" s="720">
        <f t="shared" ref="Y49" si="50">Y48-Y47</f>
        <v>18720</v>
      </c>
      <c r="Z49" s="720">
        <f t="shared" ref="Z49:AA49" si="51">Z48-Z47</f>
        <v>18720</v>
      </c>
      <c r="AA49" s="720">
        <f t="shared" si="51"/>
        <v>18720</v>
      </c>
      <c r="AB49" s="720">
        <f t="shared" ref="AB49" si="52">AB48-AB47</f>
        <v>18720</v>
      </c>
      <c r="AC49" s="720">
        <f t="shared" ref="AC49" si="53">AC48-AC47</f>
        <v>18720</v>
      </c>
      <c r="AD49" s="720">
        <f t="shared" ref="AD49" si="54">AD48-AD47</f>
        <v>18720</v>
      </c>
      <c r="AE49" s="720">
        <f t="shared" ref="AE49" si="55">AE48-AE47</f>
        <v>18720</v>
      </c>
      <c r="AF49" s="720">
        <f t="shared" ref="AF49" si="56">AF48-AF47</f>
        <v>18720</v>
      </c>
      <c r="AG49" s="720">
        <f t="shared" ref="AG49" si="57">AG48-AG47</f>
        <v>18720</v>
      </c>
      <c r="AH49" s="720">
        <f t="shared" ref="AH49" si="58">AH48-AH47</f>
        <v>18720</v>
      </c>
      <c r="AI49" s="720">
        <f t="shared" ref="AI49" si="59">AI48-AI47</f>
        <v>18720</v>
      </c>
      <c r="AJ49" s="720">
        <f t="shared" ref="AJ49" si="60">AJ48-AJ47</f>
        <v>18720</v>
      </c>
      <c r="AK49" s="720">
        <f t="shared" ref="AK49" si="61">AK48-AK47</f>
        <v>18720</v>
      </c>
      <c r="AL49" s="720">
        <f t="shared" ref="AL49:AM49" si="62">AL48-AL47</f>
        <v>18720</v>
      </c>
      <c r="AM49" s="720">
        <f t="shared" si="62"/>
        <v>18720</v>
      </c>
      <c r="AN49" s="720">
        <f t="shared" ref="AN49" si="63">AN48-AN47</f>
        <v>18720</v>
      </c>
      <c r="AO49" s="720">
        <f t="shared" ref="AO49" si="64">AO48-AO47</f>
        <v>18720</v>
      </c>
      <c r="AP49" s="720">
        <f t="shared" ref="AP49" si="65">AP48-AP47</f>
        <v>18720</v>
      </c>
      <c r="AQ49" s="720">
        <f t="shared" ref="AQ49" si="66">AQ48-AQ47</f>
        <v>18720</v>
      </c>
      <c r="AR49" s="720">
        <f t="shared" ref="AR49" si="67">AR48-AR47</f>
        <v>18720</v>
      </c>
      <c r="AS49" s="720">
        <f t="shared" ref="AS49" si="68">AS48-AS47</f>
        <v>18720</v>
      </c>
      <c r="AT49" s="720">
        <f t="shared" ref="AT49" si="69">AT48-AT47</f>
        <v>18720</v>
      </c>
      <c r="AU49" s="721">
        <f t="shared" ref="AU49" si="70">AU48-AU47</f>
        <v>18720</v>
      </c>
    </row>
    <row r="50" spans="2:47" s="39" customFormat="1" outlineLevel="1" x14ac:dyDescent="0.25">
      <c r="B50" s="696" t="s">
        <v>1154</v>
      </c>
      <c r="C50" s="710">
        <v>0</v>
      </c>
      <c r="D50" s="710">
        <v>0</v>
      </c>
      <c r="E50" s="710">
        <v>0</v>
      </c>
      <c r="F50" s="710">
        <v>0</v>
      </c>
      <c r="G50" s="710">
        <v>0</v>
      </c>
      <c r="H50" s="710">
        <v>0</v>
      </c>
      <c r="I50" s="710">
        <v>0</v>
      </c>
      <c r="J50" s="710">
        <v>0</v>
      </c>
      <c r="K50" s="710">
        <v>0</v>
      </c>
      <c r="L50" s="710">
        <v>0</v>
      </c>
      <c r="M50" s="710">
        <v>0</v>
      </c>
      <c r="N50" s="710">
        <v>0</v>
      </c>
      <c r="O50" s="710">
        <v>0</v>
      </c>
      <c r="P50" s="710">
        <v>0</v>
      </c>
      <c r="Q50" s="710">
        <v>0</v>
      </c>
      <c r="R50" s="710">
        <v>0</v>
      </c>
      <c r="S50" s="710">
        <v>0</v>
      </c>
      <c r="T50" s="710">
        <v>0</v>
      </c>
      <c r="U50" s="710">
        <v>0</v>
      </c>
      <c r="V50" s="710">
        <v>0</v>
      </c>
      <c r="W50" s="710">
        <v>0</v>
      </c>
      <c r="X50" s="710">
        <v>0</v>
      </c>
      <c r="Y50" s="710">
        <v>0</v>
      </c>
      <c r="Z50" s="710">
        <v>0</v>
      </c>
      <c r="AA50" s="710">
        <v>0</v>
      </c>
      <c r="AB50" s="710">
        <v>0</v>
      </c>
      <c r="AC50" s="710">
        <v>0</v>
      </c>
      <c r="AD50" s="710">
        <v>0</v>
      </c>
      <c r="AE50" s="710">
        <v>0</v>
      </c>
      <c r="AF50" s="710">
        <v>0</v>
      </c>
      <c r="AG50" s="710">
        <v>0</v>
      </c>
      <c r="AH50" s="710">
        <v>0</v>
      </c>
      <c r="AI50" s="710">
        <v>0</v>
      </c>
      <c r="AJ50" s="710">
        <v>0</v>
      </c>
      <c r="AK50" s="710">
        <v>0</v>
      </c>
      <c r="AL50" s="710">
        <v>0</v>
      </c>
      <c r="AM50" s="710">
        <v>0</v>
      </c>
      <c r="AN50" s="710">
        <v>0</v>
      </c>
      <c r="AO50" s="710">
        <v>0</v>
      </c>
      <c r="AP50" s="710">
        <v>0</v>
      </c>
      <c r="AQ50" s="710">
        <v>0</v>
      </c>
      <c r="AR50" s="710">
        <v>0</v>
      </c>
      <c r="AS50" s="710">
        <v>0</v>
      </c>
      <c r="AT50" s="710">
        <v>0</v>
      </c>
      <c r="AU50" s="426">
        <v>0</v>
      </c>
    </row>
    <row r="51" spans="2:47" s="15" customFormat="1" ht="18.75" customHeight="1" outlineLevel="1" x14ac:dyDescent="0.25">
      <c r="B51" s="66" t="s">
        <v>1155</v>
      </c>
    </row>
    <row r="53" spans="2:47" s="15" customFormat="1" ht="13.5" x14ac:dyDescent="0.25"/>
    <row r="54" spans="2:47" s="15" customFormat="1" ht="13.5" x14ac:dyDescent="0.25"/>
    <row r="55" spans="2:47" x14ac:dyDescent="0.25">
      <c r="C55" s="237"/>
      <c r="D55" s="237"/>
    </row>
    <row r="56" spans="2:47" x14ac:dyDescent="0.25">
      <c r="C56" s="238"/>
      <c r="D56" s="237"/>
    </row>
    <row r="57" spans="2:47" x14ac:dyDescent="0.25">
      <c r="C57" s="238"/>
      <c r="D57" s="237"/>
    </row>
    <row r="58" spans="2:47" x14ac:dyDescent="0.25">
      <c r="C58" s="238"/>
      <c r="D58" s="239"/>
    </row>
    <row r="59" spans="2:47" x14ac:dyDescent="0.25">
      <c r="C59" s="238"/>
      <c r="D59" s="240"/>
    </row>
    <row r="60" spans="2:47" x14ac:dyDescent="0.25">
      <c r="C60" s="238"/>
      <c r="D60" s="237"/>
    </row>
    <row r="61" spans="2:47" x14ac:dyDescent="0.25">
      <c r="C61" s="237"/>
      <c r="D61" s="237"/>
    </row>
    <row r="62" spans="2:47" x14ac:dyDescent="0.25">
      <c r="C62" s="237"/>
      <c r="D62" s="237"/>
    </row>
    <row r="63" spans="2:47" x14ac:dyDescent="0.25">
      <c r="C63" s="237"/>
      <c r="D63" s="239"/>
    </row>
    <row r="64" spans="2:47" x14ac:dyDescent="0.25">
      <c r="C64" s="237"/>
      <c r="D64" s="239"/>
    </row>
  </sheetData>
  <sheetProtection algorithmName="SHA-512" hashValue="BMH3gEgw0VXb+yy51udNtyx1P6w5IY42gZBRsM/KXgZ5jYAGSVVpYH37kewVKQY0Yj3SZy/+uo2H6xNLd7Bdgg==" saltValue="AnBDMsrzBCgfbuTwlhZv6Q==" spinCount="100000" sheet="1" objects="1" scenarios="1" selectLockedCells="1"/>
  <mergeCells count="2">
    <mergeCell ref="B3:D3"/>
    <mergeCell ref="E3:L3"/>
  </mergeCells>
  <conditionalFormatting sqref="C31:C33">
    <cfRule type="containsText" dxfId="56" priority="1" operator="containsText" text="Kõrge">
      <formula>NOT(ISERROR(SEARCH("Kõrge",C31)))</formula>
    </cfRule>
    <cfRule type="containsText" dxfId="55" priority="2" operator="containsText" text="Mõõdukas">
      <formula>NOT(ISERROR(SEARCH("Mõõdukas",C31)))</formula>
    </cfRule>
    <cfRule type="containsText" dxfId="54" priority="3" operator="containsText" text="Madal">
      <formula>NOT(ISERROR(SEARCH("Madal",C31)))</formula>
    </cfRule>
  </conditionalFormatting>
  <dataValidations count="3">
    <dataValidation type="list" allowBlank="1" showInputMessage="1" showErrorMessage="1" sqref="C32" xr:uid="{734AEB4F-9375-488C-B2A4-C5DA11830842}">
      <formula1>I31:I33</formula1>
    </dataValidation>
    <dataValidation type="list" allowBlank="1" showInputMessage="1" showErrorMessage="1" sqref="C31" xr:uid="{F04D59D3-4C26-4D83-9D29-48006D5756BD}">
      <formula1>I31:I33</formula1>
    </dataValidation>
    <dataValidation type="list" allowBlank="1" showInputMessage="1" showErrorMessage="1" sqref="C33" xr:uid="{38D20173-6B8B-4002-AF29-11805A90EBFD}">
      <formula1>I31:I33</formula1>
    </dataValidation>
  </dataValidations>
  <hyperlinks>
    <hyperlink ref="B1" location="MEETMED!A1" display="&lt;-MEETMETE NIMEKIRI" xr:uid="{4066809C-3DD6-4362-A012-029AEEE78446}"/>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34A0-CC0F-46D8-9725-B32597BD14D9}">
  <sheetPr>
    <tabColor theme="3" tint="0.89999084444715716"/>
  </sheetPr>
  <dimension ref="A1:AW72"/>
  <sheetViews>
    <sheetView showGridLines="0" zoomScaleNormal="100" workbookViewId="0">
      <selection activeCell="C16" sqref="C16"/>
    </sheetView>
  </sheetViews>
  <sheetFormatPr defaultColWidth="8.85546875" defaultRowHeight="15" outlineLevelRow="1" x14ac:dyDescent="0.25"/>
  <cols>
    <col min="1" max="1" width="2.28515625" customWidth="1"/>
    <col min="2" max="2" width="49.5703125" customWidth="1"/>
    <col min="3" max="3" width="14.42578125" customWidth="1"/>
    <col min="4" max="4" width="14.28515625" customWidth="1"/>
    <col min="5" max="5" width="12.140625" customWidth="1"/>
    <col min="6" max="6" width="11.85546875" customWidth="1"/>
    <col min="7" max="7" width="11.28515625" customWidth="1"/>
    <col min="8"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5.25" customHeight="1" x14ac:dyDescent="0.25">
      <c r="A3" s="260" t="s">
        <v>87</v>
      </c>
      <c r="B3" s="700" t="str">
        <f>"MEEDE: "&amp;VLOOKUP(A3,MEETMED!B:G,2,FALSE)</f>
        <v>MEEDE: Soojuspumbad ja katlad</v>
      </c>
      <c r="C3" s="988" t="str">
        <f>"TEGEVUS: "&amp;VLOOKUP(A3,MEETMED!B:G,3,FALSE)</f>
        <v>TEGEVUS: Elektrikatelde- ja akude soodustamine ning kasutuselevõtt; õhksoojus- ja maasoojuspumpade kasutuselevõtt, eriti kus ei ole võimalik või mõistlik liituda kaugküttevõrguga</v>
      </c>
      <c r="D3" s="988"/>
      <c r="E3" s="988"/>
      <c r="F3" s="988"/>
      <c r="G3" s="988"/>
      <c r="H3" s="988"/>
      <c r="I3" s="988"/>
      <c r="J3" s="988"/>
      <c r="K3" s="988"/>
      <c r="L3" s="988"/>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33"/>
    </row>
    <row r="7" spans="1:27" s="1" customFormat="1" outlineLevel="1" x14ac:dyDescent="0.25">
      <c r="B7" s="155" t="s">
        <v>862</v>
      </c>
      <c r="C7" s="901">
        <v>2027</v>
      </c>
      <c r="D7" s="155" t="s">
        <v>863</v>
      </c>
      <c r="E7" s="155"/>
      <c r="F7" s="155"/>
      <c r="G7" s="155"/>
      <c r="H7" s="155"/>
      <c r="I7" s="155"/>
      <c r="J7" s="277" t="s">
        <v>876</v>
      </c>
      <c r="L7" s="155"/>
    </row>
    <row r="8" spans="1:27" s="1" customFormat="1" outlineLevel="1" x14ac:dyDescent="0.25">
      <c r="B8" s="155" t="s">
        <v>864</v>
      </c>
      <c r="C8" s="901">
        <v>2050</v>
      </c>
      <c r="D8" s="155" t="s">
        <v>863</v>
      </c>
      <c r="E8" s="155"/>
      <c r="F8" s="155"/>
      <c r="G8" s="155"/>
      <c r="H8" s="155"/>
      <c r="I8" s="155"/>
      <c r="J8" s="893" t="s">
        <v>1670</v>
      </c>
      <c r="K8" s="305" t="s">
        <v>877</v>
      </c>
      <c r="L8" s="155"/>
    </row>
    <row r="9" spans="1:27" s="1" customFormat="1" outlineLevel="1" x14ac:dyDescent="0.25">
      <c r="B9" s="155" t="s">
        <v>865</v>
      </c>
      <c r="C9" s="229">
        <f>C8-C7+1</f>
        <v>24</v>
      </c>
      <c r="D9" s="155" t="s">
        <v>863</v>
      </c>
      <c r="F9" s="155"/>
      <c r="G9" s="155"/>
      <c r="H9" s="155"/>
      <c r="I9" s="155"/>
      <c r="J9" s="892" t="s">
        <v>878</v>
      </c>
      <c r="K9" s="305" t="s">
        <v>1669</v>
      </c>
      <c r="L9" s="155"/>
    </row>
    <row r="10" spans="1:27" s="1" customFormat="1" outlineLevel="1" x14ac:dyDescent="0.25">
      <c r="D10" s="33"/>
      <c r="E10" s="338"/>
      <c r="F10" s="338"/>
      <c r="J10" s="892" t="s">
        <v>1671</v>
      </c>
      <c r="K10" s="228">
        <v>1234</v>
      </c>
    </row>
    <row r="11" spans="1:27" s="1" customFormat="1" ht="45.6" customHeight="1" outlineLevel="1" x14ac:dyDescent="0.25">
      <c r="B11" s="770" t="s">
        <v>1074</v>
      </c>
      <c r="C11" s="770" t="s">
        <v>1075</v>
      </c>
      <c r="D11" s="770" t="s">
        <v>537</v>
      </c>
      <c r="E11" s="770" t="s">
        <v>1156</v>
      </c>
      <c r="F11" s="770" t="s">
        <v>1077</v>
      </c>
      <c r="G11" s="770" t="s">
        <v>1157</v>
      </c>
    </row>
    <row r="12" spans="1:27" s="1" customFormat="1" outlineLevel="1" x14ac:dyDescent="0.25">
      <c r="B12" s="671" t="s">
        <v>1078</v>
      </c>
      <c r="C12" s="749">
        <f>'SM1'!C12</f>
        <v>15970724.500000002</v>
      </c>
      <c r="D12" s="798">
        <f>'SM1'!D12</f>
        <v>0.58314714610056251</v>
      </c>
      <c r="E12" s="797">
        <f>'SM1'!E12</f>
        <v>0.8</v>
      </c>
      <c r="F12" s="786">
        <f>'SM1'!F12</f>
        <v>0.6</v>
      </c>
      <c r="G12" s="898">
        <v>1</v>
      </c>
      <c r="I12" s="305" t="s">
        <v>1158</v>
      </c>
    </row>
    <row r="13" spans="1:27" s="1" customFormat="1" outlineLevel="1" x14ac:dyDescent="0.25">
      <c r="B13" s="671" t="s">
        <v>1080</v>
      </c>
      <c r="C13" s="749">
        <f>'SM1'!C13</f>
        <v>2675254.6</v>
      </c>
      <c r="D13" s="798">
        <f>'SM1'!D13</f>
        <v>0.2</v>
      </c>
      <c r="E13" s="797">
        <f>'SM1'!E13</f>
        <v>0.3</v>
      </c>
      <c r="F13" s="786">
        <f>'SM1'!F13</f>
        <v>0.6</v>
      </c>
      <c r="G13" s="898">
        <v>1</v>
      </c>
    </row>
    <row r="14" spans="1:27" s="1" customFormat="1" outlineLevel="1" x14ac:dyDescent="0.25">
      <c r="B14" s="671" t="s">
        <v>1082</v>
      </c>
      <c r="C14" s="749">
        <f>SISENDID!K42</f>
        <v>12824914.300000001</v>
      </c>
      <c r="D14" s="786">
        <f>SISENDID!K43</f>
        <v>0.30045684853686183</v>
      </c>
      <c r="E14" s="797">
        <f>'SM1'!E14</f>
        <v>0.5</v>
      </c>
      <c r="F14" s="786">
        <f>'SM1'!F14</f>
        <v>0.4</v>
      </c>
      <c r="G14" s="898">
        <v>1</v>
      </c>
      <c r="H14" s="229"/>
      <c r="I14" s="380" t="s">
        <v>1159</v>
      </c>
      <c r="J14" s="229"/>
      <c r="K14" s="229"/>
      <c r="L14" s="229"/>
    </row>
    <row r="15" spans="1:27" s="1" customFormat="1" outlineLevel="1" x14ac:dyDescent="0.25">
      <c r="B15" s="671"/>
      <c r="C15" s="796"/>
      <c r="D15" s="155"/>
      <c r="E15" s="331" t="s">
        <v>1160</v>
      </c>
      <c r="F15" s="155"/>
      <c r="G15" s="155"/>
      <c r="H15" s="155"/>
    </row>
    <row r="16" spans="1:27" s="1" customFormat="1" outlineLevel="1" x14ac:dyDescent="0.25">
      <c r="B16" s="671" t="s">
        <v>1084</v>
      </c>
      <c r="C16" s="899">
        <v>160</v>
      </c>
      <c r="D16" s="155" t="s">
        <v>1085</v>
      </c>
      <c r="E16" s="155"/>
      <c r="F16" s="155"/>
    </row>
    <row r="17" spans="1:34" s="1" customFormat="1" outlineLevel="1" x14ac:dyDescent="0.25">
      <c r="B17" s="671" t="s">
        <v>1161</v>
      </c>
      <c r="C17" s="899">
        <v>900</v>
      </c>
      <c r="D17" s="155" t="s">
        <v>1162</v>
      </c>
      <c r="E17" s="339"/>
      <c r="F17" s="155"/>
    </row>
    <row r="18" spans="1:34" s="1" customFormat="1" outlineLevel="1" x14ac:dyDescent="0.25">
      <c r="B18" s="671" t="s">
        <v>1163</v>
      </c>
      <c r="C18" s="749">
        <f>C12*(1-E12)*F12*G12+C13*(1-E13)*F13*G13+C14*(1-E14)*G14*F14</f>
        <v>5605076.7319999998</v>
      </c>
      <c r="D18" s="155" t="s">
        <v>554</v>
      </c>
      <c r="E18" s="339"/>
      <c r="F18" s="155"/>
    </row>
    <row r="19" spans="1:34" s="1" customFormat="1" outlineLevel="1" x14ac:dyDescent="0.25">
      <c r="B19" s="671" t="s">
        <v>1164</v>
      </c>
      <c r="C19" s="749">
        <f>C18*C16/1000000</f>
        <v>896.81227711999998</v>
      </c>
      <c r="D19" s="155" t="s">
        <v>502</v>
      </c>
      <c r="E19" s="339"/>
      <c r="F19" s="155"/>
    </row>
    <row r="20" spans="1:34" s="1" customFormat="1" outlineLevel="1" x14ac:dyDescent="0.25">
      <c r="B20" s="671" t="s">
        <v>1165</v>
      </c>
      <c r="C20" s="923">
        <v>3</v>
      </c>
      <c r="D20" s="155"/>
      <c r="E20" s="339"/>
      <c r="F20" s="155"/>
    </row>
    <row r="21" spans="1:34" s="1" customFormat="1" outlineLevel="1" x14ac:dyDescent="0.25">
      <c r="B21" s="671" t="s">
        <v>1166</v>
      </c>
      <c r="C21" s="749">
        <f>C19/C20</f>
        <v>298.93742570666666</v>
      </c>
      <c r="D21" s="155" t="s">
        <v>502</v>
      </c>
      <c r="E21" s="339"/>
      <c r="F21" s="155"/>
    </row>
    <row r="22" spans="1:34" s="1" customFormat="1" outlineLevel="1" x14ac:dyDescent="0.25">
      <c r="B22" s="671" t="s">
        <v>1167</v>
      </c>
      <c r="C22" s="899">
        <v>5000</v>
      </c>
      <c r="D22" s="155" t="s">
        <v>1168</v>
      </c>
      <c r="E22" s="339"/>
      <c r="F22" s="155"/>
    </row>
    <row r="23" spans="1:34" s="1" customFormat="1" outlineLevel="1" x14ac:dyDescent="0.25">
      <c r="B23" s="671" t="s">
        <v>1169</v>
      </c>
      <c r="C23" s="749">
        <f>C19*1000/C22</f>
        <v>179.36245542399999</v>
      </c>
      <c r="D23" s="155" t="s">
        <v>1170</v>
      </c>
      <c r="E23" s="339"/>
      <c r="F23" s="155"/>
    </row>
    <row r="24" spans="1:34" s="1" customFormat="1" outlineLevel="1" x14ac:dyDescent="0.25">
      <c r="B24" s="671" t="s">
        <v>1171</v>
      </c>
      <c r="C24" s="898">
        <v>0</v>
      </c>
      <c r="D24" s="155" t="s">
        <v>1172</v>
      </c>
      <c r="E24" s="338"/>
      <c r="F24" s="155"/>
    </row>
    <row r="25" spans="1:34" s="1" customFormat="1" outlineLevel="1" x14ac:dyDescent="0.25">
      <c r="B25" s="671" t="s">
        <v>1090</v>
      </c>
      <c r="C25" s="898">
        <v>0.02</v>
      </c>
      <c r="D25" s="155" t="s">
        <v>1091</v>
      </c>
      <c r="E25" s="339"/>
      <c r="F25" s="155"/>
    </row>
    <row r="26" spans="1:34" s="1" customFormat="1" outlineLevel="1" x14ac:dyDescent="0.25">
      <c r="B26" s="671" t="s">
        <v>1173</v>
      </c>
      <c r="C26" s="898">
        <v>0.95</v>
      </c>
      <c r="D26" s="155" t="s">
        <v>884</v>
      </c>
      <c r="E26" s="155"/>
      <c r="F26" s="155"/>
      <c r="N26" s="340"/>
    </row>
    <row r="27" spans="1:34" s="1" customFormat="1" x14ac:dyDescent="0.25">
      <c r="B27" s="232"/>
      <c r="C27" s="232"/>
      <c r="D27" s="228"/>
      <c r="E27" s="228"/>
    </row>
    <row r="28" spans="1:34" x14ac:dyDescent="0.25">
      <c r="A28" s="1"/>
      <c r="B28" s="659" t="s">
        <v>895</v>
      </c>
      <c r="C28" s="659"/>
      <c r="D28" s="659"/>
      <c r="E28" s="659"/>
      <c r="F28" s="659"/>
      <c r="G28" s="659"/>
      <c r="H28" s="659"/>
      <c r="I28" s="659"/>
      <c r="J28" s="659"/>
      <c r="K28" s="659"/>
      <c r="L28" s="659"/>
      <c r="N28" s="1"/>
      <c r="T28" s="1"/>
      <c r="U28" s="1"/>
      <c r="V28" s="1"/>
      <c r="W28" s="1"/>
      <c r="X28" s="1"/>
      <c r="Y28" s="1"/>
      <c r="Z28" s="1"/>
      <c r="AA28" s="1"/>
      <c r="AB28" s="1"/>
      <c r="AC28" s="1"/>
      <c r="AD28" s="1"/>
      <c r="AE28" s="1"/>
      <c r="AF28" s="1"/>
      <c r="AG28" s="1"/>
      <c r="AH28" s="1"/>
    </row>
    <row r="29" spans="1:34" s="1" customFormat="1" ht="9.75" customHeight="1" outlineLevel="1" x14ac:dyDescent="0.25"/>
    <row r="30" spans="1:34" s="1" customFormat="1" outlineLevel="1" x14ac:dyDescent="0.25">
      <c r="B30" s="13" t="s">
        <v>896</v>
      </c>
      <c r="D30" s="234"/>
      <c r="E30" s="284" t="s">
        <v>897</v>
      </c>
      <c r="N30" s="327"/>
    </row>
    <row r="31" spans="1:34" s="1" customFormat="1" outlineLevel="1" x14ac:dyDescent="0.25">
      <c r="B31" s="660" t="s">
        <v>898</v>
      </c>
      <c r="C31" s="665" t="s">
        <v>899</v>
      </c>
      <c r="D31" s="234"/>
      <c r="E31" s="661"/>
      <c r="F31" s="701" t="s">
        <v>900</v>
      </c>
    </row>
    <row r="32" spans="1:34" s="1" customFormat="1" ht="15" customHeight="1" outlineLevel="1" x14ac:dyDescent="0.25">
      <c r="B32" s="663" t="s">
        <v>398</v>
      </c>
      <c r="C32" s="666">
        <f>SUM(C50:AA50)/25/1000</f>
        <v>6.4570483952639997</v>
      </c>
      <c r="E32" s="663">
        <v>2030</v>
      </c>
      <c r="F32" s="670">
        <f>G59</f>
        <v>31339.65569816365</v>
      </c>
    </row>
    <row r="33" spans="1:49" s="1" customFormat="1" ht="15" customHeight="1" outlineLevel="1" x14ac:dyDescent="0.25">
      <c r="B33" s="155" t="s">
        <v>399</v>
      </c>
      <c r="C33" s="667">
        <f>SUM(C51:AA51)/25/1000</f>
        <v>0</v>
      </c>
      <c r="E33" s="155">
        <v>2035</v>
      </c>
      <c r="F33" s="428">
        <f>L59</f>
        <v>70514.225320868209</v>
      </c>
    </row>
    <row r="34" spans="1:49" s="1" customFormat="1" ht="15" customHeight="1" outlineLevel="1" x14ac:dyDescent="0.25">
      <c r="B34" s="663" t="s">
        <v>400</v>
      </c>
      <c r="C34" s="666">
        <f>C32</f>
        <v>6.4570483952639997</v>
      </c>
      <c r="D34" s="261"/>
      <c r="E34" s="663">
        <v>2040</v>
      </c>
      <c r="F34" s="670">
        <f>Q59</f>
        <v>109688.79494357278</v>
      </c>
      <c r="I34" s="228"/>
    </row>
    <row r="35" spans="1:49" s="1" customFormat="1" ht="15" customHeight="1" outlineLevel="1" x14ac:dyDescent="0.25">
      <c r="B35" s="155" t="s">
        <v>401</v>
      </c>
      <c r="C35" s="667">
        <f>C33</f>
        <v>0</v>
      </c>
      <c r="D35" s="261"/>
      <c r="E35" s="155">
        <v>2045</v>
      </c>
      <c r="F35" s="428">
        <f>V59</f>
        <v>148863.36456627736</v>
      </c>
    </row>
    <row r="36" spans="1:49" s="1" customFormat="1" outlineLevel="1" x14ac:dyDescent="0.25">
      <c r="B36" s="663" t="s">
        <v>901</v>
      </c>
      <c r="C36" s="670">
        <f>MAX(C59:AQ59)</f>
        <v>188037.93418898198</v>
      </c>
      <c r="D36" s="261"/>
      <c r="E36" s="663">
        <v>2050</v>
      </c>
      <c r="F36" s="670">
        <f>AA59</f>
        <v>188037.93418898198</v>
      </c>
    </row>
    <row r="37" spans="1:49" s="1" customFormat="1" ht="15" customHeight="1" outlineLevel="1" x14ac:dyDescent="0.25">
      <c r="B37" s="155" t="s">
        <v>902</v>
      </c>
      <c r="C37" s="428">
        <f>SUM(C58:AU58)-SUM(C56:AU56)</f>
        <v>20964.953671270203</v>
      </c>
      <c r="D37" s="261"/>
      <c r="E37" s="228"/>
    </row>
    <row r="38" spans="1:49" s="1" customFormat="1" ht="15" customHeight="1" outlineLevel="1" x14ac:dyDescent="0.25">
      <c r="B38" s="663" t="s">
        <v>403</v>
      </c>
      <c r="C38" s="670">
        <f>SUM(C50:AU50)*1000/SUM(C59:AU59)</f>
        <v>26.414671728191493</v>
      </c>
      <c r="D38" s="261"/>
      <c r="E38" s="228"/>
    </row>
    <row r="39" spans="1:49" s="1" customFormat="1" outlineLevel="1" x14ac:dyDescent="0.25">
      <c r="B39" s="13"/>
      <c r="C39" s="236"/>
      <c r="D39" s="234"/>
      <c r="E39" s="228"/>
    </row>
    <row r="40" spans="1:49" s="1" customFormat="1" outlineLevel="1" x14ac:dyDescent="0.25">
      <c r="B40" s="284" t="s">
        <v>903</v>
      </c>
      <c r="D40" s="43"/>
      <c r="E40" s="7"/>
      <c r="I40" s="360" t="s">
        <v>876</v>
      </c>
    </row>
    <row r="41" spans="1:49" s="1" customFormat="1" outlineLevel="1" x14ac:dyDescent="0.25">
      <c r="A41" s="33"/>
      <c r="B41" s="155" t="s">
        <v>904</v>
      </c>
      <c r="C41" s="307" t="s">
        <v>905</v>
      </c>
      <c r="D41" s="12"/>
      <c r="E41" s="12"/>
      <c r="F41" s="12"/>
      <c r="G41" s="12"/>
      <c r="H41" s="12"/>
      <c r="I41" s="311" t="s">
        <v>474</v>
      </c>
      <c r="J41" s="295" t="s">
        <v>906</v>
      </c>
    </row>
    <row r="42" spans="1:49" s="1" customFormat="1" ht="16.5" customHeight="1" outlineLevel="1" x14ac:dyDescent="0.25">
      <c r="A42" s="33">
        <v>1</v>
      </c>
      <c r="B42" s="155" t="s">
        <v>907</v>
      </c>
      <c r="C42" s="307" t="s">
        <v>474</v>
      </c>
      <c r="D42" s="397">
        <f>IF(C42="Kõrge",3,IF(C42="Mõõdukas",2,1))</f>
        <v>3</v>
      </c>
      <c r="E42" s="12"/>
      <c r="F42" s="12"/>
      <c r="G42" s="12"/>
      <c r="H42" s="12"/>
      <c r="I42" s="312" t="s">
        <v>905</v>
      </c>
      <c r="J42" s="295" t="s">
        <v>908</v>
      </c>
      <c r="K42" s="273" t="s">
        <v>1093</v>
      </c>
    </row>
    <row r="43" spans="1:49" s="1" customFormat="1" ht="16.5" customHeight="1" outlineLevel="1" x14ac:dyDescent="0.25">
      <c r="A43" s="33"/>
      <c r="B43" s="155" t="s">
        <v>909</v>
      </c>
      <c r="C43" s="307" t="s">
        <v>910</v>
      </c>
      <c r="D43" s="397">
        <f>IF(C43="Kõrge",3,IF(C43="Mõõdukas",2,1))</f>
        <v>1</v>
      </c>
      <c r="E43" s="12"/>
      <c r="F43" s="12"/>
      <c r="I43" s="313" t="s">
        <v>910</v>
      </c>
      <c r="J43" s="295" t="s">
        <v>911</v>
      </c>
      <c r="K43" s="273" t="s">
        <v>1094</v>
      </c>
    </row>
    <row r="44" spans="1:49" s="1" customFormat="1" x14ac:dyDescent="0.25">
      <c r="B44" s="13"/>
      <c r="C44" s="399" t="s">
        <v>912</v>
      </c>
      <c r="D44" s="398">
        <f>D43+D42</f>
        <v>4</v>
      </c>
    </row>
    <row r="45" spans="1:49" x14ac:dyDescent="0.25">
      <c r="A45" s="1"/>
      <c r="B45" s="659" t="s">
        <v>913</v>
      </c>
      <c r="C45" s="659"/>
      <c r="D45" s="659"/>
      <c r="E45" s="659"/>
      <c r="F45" s="659"/>
      <c r="G45" s="659"/>
      <c r="H45" s="659"/>
      <c r="I45" s="659"/>
      <c r="J45" s="659"/>
      <c r="K45" s="659"/>
      <c r="L45" s="659"/>
      <c r="M45" s="659"/>
      <c r="N45" s="659"/>
      <c r="O45" s="659"/>
      <c r="P45" s="659"/>
      <c r="Q45" s="659"/>
      <c r="R45" s="659"/>
      <c r="S45" s="659"/>
      <c r="T45" s="659"/>
      <c r="U45" s="659"/>
      <c r="V45" s="659"/>
      <c r="W45" s="659"/>
      <c r="X45" s="659"/>
      <c r="Y45" s="659"/>
      <c r="Z45" s="659"/>
      <c r="AA45" s="659"/>
      <c r="AB45" s="659"/>
      <c r="AC45" s="659"/>
      <c r="AD45" s="659"/>
      <c r="AE45" s="659"/>
      <c r="AF45" s="659"/>
      <c r="AG45" s="659"/>
      <c r="AH45" s="659"/>
      <c r="AI45" s="659"/>
      <c r="AJ45" s="659"/>
      <c r="AK45" s="659"/>
      <c r="AL45" s="659"/>
      <c r="AM45" s="659"/>
      <c r="AN45" s="659"/>
      <c r="AO45" s="659"/>
      <c r="AP45" s="659"/>
      <c r="AQ45" s="659"/>
      <c r="AR45" s="659"/>
      <c r="AS45" s="659"/>
      <c r="AT45" s="659"/>
      <c r="AU45" s="659"/>
    </row>
    <row r="46" spans="1:49" s="15" customFormat="1" ht="7.5" customHeight="1" outlineLevel="1" x14ac:dyDescent="0.25"/>
    <row r="47" spans="1:49" s="15" customFormat="1" ht="13.5" outlineLevel="1" x14ac:dyDescent="0.25">
      <c r="B47" s="715" t="s">
        <v>914</v>
      </c>
      <c r="C47" s="432">
        <v>2026</v>
      </c>
      <c r="D47" s="432">
        <f>C47+1</f>
        <v>2027</v>
      </c>
      <c r="E47" s="432">
        <f t="shared" ref="E47:AU47" si="0">D47+1</f>
        <v>2028</v>
      </c>
      <c r="F47" s="432">
        <f t="shared" si="0"/>
        <v>2029</v>
      </c>
      <c r="G47" s="432">
        <f t="shared" si="0"/>
        <v>2030</v>
      </c>
      <c r="H47" s="432">
        <f t="shared" si="0"/>
        <v>2031</v>
      </c>
      <c r="I47" s="432">
        <f t="shared" si="0"/>
        <v>2032</v>
      </c>
      <c r="J47" s="432">
        <f t="shared" si="0"/>
        <v>2033</v>
      </c>
      <c r="K47" s="432">
        <f t="shared" si="0"/>
        <v>2034</v>
      </c>
      <c r="L47" s="432">
        <f t="shared" si="0"/>
        <v>2035</v>
      </c>
      <c r="M47" s="432">
        <f t="shared" si="0"/>
        <v>2036</v>
      </c>
      <c r="N47" s="432">
        <f t="shared" si="0"/>
        <v>2037</v>
      </c>
      <c r="O47" s="432">
        <f t="shared" si="0"/>
        <v>2038</v>
      </c>
      <c r="P47" s="432">
        <f t="shared" si="0"/>
        <v>2039</v>
      </c>
      <c r="Q47" s="432">
        <f t="shared" si="0"/>
        <v>2040</v>
      </c>
      <c r="R47" s="432">
        <f t="shared" si="0"/>
        <v>2041</v>
      </c>
      <c r="S47" s="432">
        <f t="shared" si="0"/>
        <v>2042</v>
      </c>
      <c r="T47" s="432">
        <f t="shared" si="0"/>
        <v>2043</v>
      </c>
      <c r="U47" s="432">
        <f t="shared" si="0"/>
        <v>2044</v>
      </c>
      <c r="V47" s="432">
        <f t="shared" si="0"/>
        <v>2045</v>
      </c>
      <c r="W47" s="432">
        <f t="shared" si="0"/>
        <v>2046</v>
      </c>
      <c r="X47" s="432">
        <f t="shared" si="0"/>
        <v>2047</v>
      </c>
      <c r="Y47" s="432">
        <f t="shared" si="0"/>
        <v>2048</v>
      </c>
      <c r="Z47" s="432">
        <f t="shared" si="0"/>
        <v>2049</v>
      </c>
      <c r="AA47" s="432">
        <f t="shared" si="0"/>
        <v>2050</v>
      </c>
      <c r="AB47" s="432">
        <f t="shared" si="0"/>
        <v>2051</v>
      </c>
      <c r="AC47" s="432">
        <f t="shared" si="0"/>
        <v>2052</v>
      </c>
      <c r="AD47" s="432">
        <f t="shared" si="0"/>
        <v>2053</v>
      </c>
      <c r="AE47" s="432">
        <f t="shared" si="0"/>
        <v>2054</v>
      </c>
      <c r="AF47" s="432">
        <f t="shared" si="0"/>
        <v>2055</v>
      </c>
      <c r="AG47" s="432">
        <f t="shared" si="0"/>
        <v>2056</v>
      </c>
      <c r="AH47" s="432">
        <f t="shared" si="0"/>
        <v>2057</v>
      </c>
      <c r="AI47" s="432">
        <f t="shared" si="0"/>
        <v>2058</v>
      </c>
      <c r="AJ47" s="432">
        <f t="shared" si="0"/>
        <v>2059</v>
      </c>
      <c r="AK47" s="432">
        <f t="shared" si="0"/>
        <v>2060</v>
      </c>
      <c r="AL47" s="432">
        <f t="shared" si="0"/>
        <v>2061</v>
      </c>
      <c r="AM47" s="432">
        <f t="shared" si="0"/>
        <v>2062</v>
      </c>
      <c r="AN47" s="432">
        <f t="shared" si="0"/>
        <v>2063</v>
      </c>
      <c r="AO47" s="432">
        <f t="shared" si="0"/>
        <v>2064</v>
      </c>
      <c r="AP47" s="432">
        <f t="shared" si="0"/>
        <v>2065</v>
      </c>
      <c r="AQ47" s="432">
        <f t="shared" si="0"/>
        <v>2066</v>
      </c>
      <c r="AR47" s="432">
        <f t="shared" si="0"/>
        <v>2067</v>
      </c>
      <c r="AS47" s="432">
        <f t="shared" si="0"/>
        <v>2068</v>
      </c>
      <c r="AT47" s="432">
        <f t="shared" si="0"/>
        <v>2069</v>
      </c>
      <c r="AU47" s="716">
        <f t="shared" si="0"/>
        <v>2070</v>
      </c>
      <c r="AV47" s="39"/>
      <c r="AW47" s="39"/>
    </row>
    <row r="48" spans="1:49" s="15" customFormat="1" ht="13.5" outlineLevel="1" x14ac:dyDescent="0.25">
      <c r="B48" s="723" t="s">
        <v>1037</v>
      </c>
      <c r="C48" s="724">
        <f t="shared" ref="C48:D48" si="1">IF(OR(C47&lt;$C$7,C47&gt;$C$8),0,1)</f>
        <v>0</v>
      </c>
      <c r="D48" s="724">
        <f t="shared" si="1"/>
        <v>1</v>
      </c>
      <c r="E48" s="724">
        <f>IF(OR(E47&lt;$C$7,E47&gt;$C$8),0,1)</f>
        <v>1</v>
      </c>
      <c r="F48" s="724">
        <f t="shared" ref="F48:AD48" si="2">IF(OR(F47&lt;$C$7,F47&gt;$C$8),0,1)</f>
        <v>1</v>
      </c>
      <c r="G48" s="724">
        <f t="shared" si="2"/>
        <v>1</v>
      </c>
      <c r="H48" s="724">
        <f t="shared" si="2"/>
        <v>1</v>
      </c>
      <c r="I48" s="724">
        <f t="shared" si="2"/>
        <v>1</v>
      </c>
      <c r="J48" s="724">
        <f t="shared" si="2"/>
        <v>1</v>
      </c>
      <c r="K48" s="724">
        <f t="shared" si="2"/>
        <v>1</v>
      </c>
      <c r="L48" s="724">
        <f t="shared" si="2"/>
        <v>1</v>
      </c>
      <c r="M48" s="724">
        <f t="shared" si="2"/>
        <v>1</v>
      </c>
      <c r="N48" s="724">
        <f t="shared" si="2"/>
        <v>1</v>
      </c>
      <c r="O48" s="724">
        <f t="shared" si="2"/>
        <v>1</v>
      </c>
      <c r="P48" s="724">
        <f t="shared" si="2"/>
        <v>1</v>
      </c>
      <c r="Q48" s="724">
        <f t="shared" si="2"/>
        <v>1</v>
      </c>
      <c r="R48" s="724">
        <f t="shared" si="2"/>
        <v>1</v>
      </c>
      <c r="S48" s="724">
        <f t="shared" si="2"/>
        <v>1</v>
      </c>
      <c r="T48" s="724">
        <f t="shared" si="2"/>
        <v>1</v>
      </c>
      <c r="U48" s="724">
        <f t="shared" si="2"/>
        <v>1</v>
      </c>
      <c r="V48" s="724">
        <f t="shared" si="2"/>
        <v>1</v>
      </c>
      <c r="W48" s="724">
        <f t="shared" si="2"/>
        <v>1</v>
      </c>
      <c r="X48" s="724">
        <f t="shared" si="2"/>
        <v>1</v>
      </c>
      <c r="Y48" s="724">
        <f t="shared" si="2"/>
        <v>1</v>
      </c>
      <c r="Z48" s="724">
        <f t="shared" si="2"/>
        <v>1</v>
      </c>
      <c r="AA48" s="724">
        <f t="shared" si="2"/>
        <v>1</v>
      </c>
      <c r="AB48" s="724">
        <f t="shared" si="2"/>
        <v>0</v>
      </c>
      <c r="AC48" s="724">
        <f t="shared" si="2"/>
        <v>0</v>
      </c>
      <c r="AD48" s="724">
        <f t="shared" si="2"/>
        <v>0</v>
      </c>
      <c r="AE48" s="724">
        <f>IF(OR(AE47&lt;$C$7,AE47&gt;$C$8),0,1)</f>
        <v>0</v>
      </c>
      <c r="AF48" s="724">
        <f t="shared" ref="AF48" si="3">IF(OR(AF47&lt;$C$7,AF47&gt;$C$8),0,1)</f>
        <v>0</v>
      </c>
      <c r="AG48" s="724">
        <f t="shared" ref="AG48" si="4">IF(OR(AG47&lt;$C$7,AG47&gt;$C$8),0,1)</f>
        <v>0</v>
      </c>
      <c r="AH48" s="724">
        <f t="shared" ref="AH48" si="5">IF(OR(AH47&lt;$C$7,AH47&gt;$C$8),0,1)</f>
        <v>0</v>
      </c>
      <c r="AI48" s="724">
        <f t="shared" ref="AI48" si="6">IF(OR(AI47&lt;$C$7,AI47&gt;$C$8),0,1)</f>
        <v>0</v>
      </c>
      <c r="AJ48" s="724">
        <f t="shared" ref="AJ48" si="7">IF(OR(AJ47&lt;$C$7,AJ47&gt;$C$8),0,1)</f>
        <v>0</v>
      </c>
      <c r="AK48" s="724">
        <f t="shared" ref="AK48" si="8">IF(OR(AK47&lt;$C$7,AK47&gt;$C$8),0,1)</f>
        <v>0</v>
      </c>
      <c r="AL48" s="724">
        <f t="shared" ref="AL48" si="9">IF(OR(AL47&lt;$C$7,AL47&gt;$C$8),0,1)</f>
        <v>0</v>
      </c>
      <c r="AM48" s="724">
        <f t="shared" ref="AM48" si="10">IF(OR(AM47&lt;$C$7,AM47&gt;$C$8),0,1)</f>
        <v>0</v>
      </c>
      <c r="AN48" s="724">
        <f t="shared" ref="AN48" si="11">IF(OR(AN47&lt;$C$7,AN47&gt;$C$8),0,1)</f>
        <v>0</v>
      </c>
      <c r="AO48" s="724">
        <f t="shared" ref="AO48" si="12">IF(OR(AO47&lt;$C$7,AO47&gt;$C$8),0,1)</f>
        <v>0</v>
      </c>
      <c r="AP48" s="724">
        <f t="shared" ref="AP48" si="13">IF(OR(AP47&lt;$C$7,AP47&gt;$C$8),0,1)</f>
        <v>0</v>
      </c>
      <c r="AQ48" s="724">
        <f t="shared" ref="AQ48" si="14">IF(OR(AQ47&lt;$C$7,AQ47&gt;$C$8),0,1)</f>
        <v>0</v>
      </c>
      <c r="AR48" s="724">
        <f t="shared" ref="AR48" si="15">IF(OR(AR47&lt;$C$7,AR47&gt;$C$8),0,1)</f>
        <v>0</v>
      </c>
      <c r="AS48" s="724">
        <f t="shared" ref="AS48" si="16">IF(OR(AS47&lt;$C$7,AS47&gt;$C$8),0,1)</f>
        <v>0</v>
      </c>
      <c r="AT48" s="724">
        <f t="shared" ref="AT48" si="17">IF(OR(AT47&lt;$C$7,AT47&gt;$C$8),0,1)</f>
        <v>0</v>
      </c>
      <c r="AU48" s="725">
        <f t="shared" ref="AU48" si="18">IF(OR(AU47&lt;$C$7,AU47&gt;$C$8),0,1)</f>
        <v>0</v>
      </c>
    </row>
    <row r="49" spans="2:47" s="15" customFormat="1" ht="13.5" outlineLevel="1" x14ac:dyDescent="0.25">
      <c r="B49" s="431" t="s">
        <v>1174</v>
      </c>
      <c r="C49" s="717">
        <f>$C$23/$C$9*C48</f>
        <v>0</v>
      </c>
      <c r="D49" s="717">
        <f t="shared" ref="D49:Q49" si="19">$C$23/$C$9*D48</f>
        <v>7.4734356426666659</v>
      </c>
      <c r="E49" s="717">
        <f t="shared" si="19"/>
        <v>7.4734356426666659</v>
      </c>
      <c r="F49" s="717">
        <f t="shared" si="19"/>
        <v>7.4734356426666659</v>
      </c>
      <c r="G49" s="717">
        <f t="shared" si="19"/>
        <v>7.4734356426666659</v>
      </c>
      <c r="H49" s="717">
        <f t="shared" si="19"/>
        <v>7.4734356426666659</v>
      </c>
      <c r="I49" s="717">
        <f t="shared" si="19"/>
        <v>7.4734356426666659</v>
      </c>
      <c r="J49" s="717">
        <f t="shared" si="19"/>
        <v>7.4734356426666659</v>
      </c>
      <c r="K49" s="717">
        <f t="shared" si="19"/>
        <v>7.4734356426666659</v>
      </c>
      <c r="L49" s="717">
        <f t="shared" si="19"/>
        <v>7.4734356426666659</v>
      </c>
      <c r="M49" s="717">
        <f t="shared" si="19"/>
        <v>7.4734356426666659</v>
      </c>
      <c r="N49" s="717">
        <f t="shared" si="19"/>
        <v>7.4734356426666659</v>
      </c>
      <c r="O49" s="717">
        <f t="shared" si="19"/>
        <v>7.4734356426666659</v>
      </c>
      <c r="P49" s="717">
        <f t="shared" si="19"/>
        <v>7.4734356426666659</v>
      </c>
      <c r="Q49" s="717">
        <f t="shared" si="19"/>
        <v>7.4734356426666659</v>
      </c>
      <c r="R49" s="717">
        <f t="shared" ref="R49" si="20">$C$23/$C$9*R48</f>
        <v>7.4734356426666659</v>
      </c>
      <c r="S49" s="717">
        <f t="shared" ref="S49" si="21">$C$23/$C$9*S48</f>
        <v>7.4734356426666659</v>
      </c>
      <c r="T49" s="717">
        <f t="shared" ref="T49" si="22">$C$23/$C$9*T48</f>
        <v>7.4734356426666659</v>
      </c>
      <c r="U49" s="717">
        <f t="shared" ref="U49" si="23">$C$23/$C$9*U48</f>
        <v>7.4734356426666659</v>
      </c>
      <c r="V49" s="717">
        <f t="shared" ref="V49" si="24">$C$23/$C$9*V48</f>
        <v>7.4734356426666659</v>
      </c>
      <c r="W49" s="717">
        <f t="shared" ref="W49" si="25">$C$23/$C$9*W48</f>
        <v>7.4734356426666659</v>
      </c>
      <c r="X49" s="717">
        <f t="shared" ref="X49" si="26">$C$23/$C$9*X48</f>
        <v>7.4734356426666659</v>
      </c>
      <c r="Y49" s="717">
        <f t="shared" ref="Y49" si="27">$C$23/$C$9*Y48</f>
        <v>7.4734356426666659</v>
      </c>
      <c r="Z49" s="717">
        <f t="shared" ref="Z49" si="28">$C$23/$C$9*Z48</f>
        <v>7.4734356426666659</v>
      </c>
      <c r="AA49" s="717">
        <f t="shared" ref="AA49" si="29">$C$23/$C$9*AA48</f>
        <v>7.4734356426666659</v>
      </c>
      <c r="AB49" s="717">
        <f t="shared" ref="AB49" si="30">$C$23/$C$9*AB48</f>
        <v>0</v>
      </c>
      <c r="AC49" s="717">
        <f t="shared" ref="AC49" si="31">$C$23/$C$9*AC48</f>
        <v>0</v>
      </c>
      <c r="AD49" s="717">
        <f t="shared" ref="AD49:AE49" si="32">$C$23/$C$9*AD48</f>
        <v>0</v>
      </c>
      <c r="AE49" s="717">
        <f t="shared" si="32"/>
        <v>0</v>
      </c>
      <c r="AF49" s="717">
        <f t="shared" ref="AF49" si="33">$C$23/$C$9*AF48</f>
        <v>0</v>
      </c>
      <c r="AG49" s="717">
        <f t="shared" ref="AG49" si="34">$C$23/$C$9*AG48</f>
        <v>0</v>
      </c>
      <c r="AH49" s="717">
        <f t="shared" ref="AH49" si="35">$C$23/$C$9*AH48</f>
        <v>0</v>
      </c>
      <c r="AI49" s="717">
        <f t="shared" ref="AI49" si="36">$C$23/$C$9*AI48</f>
        <v>0</v>
      </c>
      <c r="AJ49" s="717">
        <f t="shared" ref="AJ49" si="37">$C$23/$C$9*AJ48</f>
        <v>0</v>
      </c>
      <c r="AK49" s="717">
        <f t="shared" ref="AK49" si="38">$C$23/$C$9*AK48</f>
        <v>0</v>
      </c>
      <c r="AL49" s="717">
        <f t="shared" ref="AL49" si="39">$C$23/$C$9*AL48</f>
        <v>0</v>
      </c>
      <c r="AM49" s="717">
        <f t="shared" ref="AM49" si="40">$C$23/$C$9*AM48</f>
        <v>0</v>
      </c>
      <c r="AN49" s="717">
        <f t="shared" ref="AN49" si="41">$C$23/$C$9*AN48</f>
        <v>0</v>
      </c>
      <c r="AO49" s="717">
        <f t="shared" ref="AO49" si="42">$C$23/$C$9*AO48</f>
        <v>0</v>
      </c>
      <c r="AP49" s="717">
        <f t="shared" ref="AP49" si="43">$C$23/$C$9*AP48</f>
        <v>0</v>
      </c>
      <c r="AQ49" s="717">
        <f t="shared" ref="AQ49" si="44">$C$23/$C$9*AQ48</f>
        <v>0</v>
      </c>
      <c r="AR49" s="717">
        <f t="shared" ref="AR49:AS49" si="45">$C$23/$C$9*AR48</f>
        <v>0</v>
      </c>
      <c r="AS49" s="717">
        <f t="shared" si="45"/>
        <v>0</v>
      </c>
      <c r="AT49" s="717">
        <f t="shared" ref="AT49" si="46">$C$23/$C$9*AT48</f>
        <v>0</v>
      </c>
      <c r="AU49" s="718">
        <f t="shared" ref="AU49" si="47">$C$23/$C$9*AU48</f>
        <v>0</v>
      </c>
    </row>
    <row r="50" spans="2:47" s="15" customFormat="1" ht="13.5" outlineLevel="1" x14ac:dyDescent="0.25">
      <c r="B50" s="696" t="s">
        <v>1111</v>
      </c>
      <c r="C50" s="729">
        <f>C49*$C$17</f>
        <v>0</v>
      </c>
      <c r="D50" s="729">
        <f t="shared" ref="D50:Q50" si="48">D49*$C$17</f>
        <v>6726.0920783999991</v>
      </c>
      <c r="E50" s="729">
        <f t="shared" si="48"/>
        <v>6726.0920783999991</v>
      </c>
      <c r="F50" s="729">
        <f t="shared" si="48"/>
        <v>6726.0920783999991</v>
      </c>
      <c r="G50" s="729">
        <f t="shared" si="48"/>
        <v>6726.0920783999991</v>
      </c>
      <c r="H50" s="729">
        <f t="shared" si="48"/>
        <v>6726.0920783999991</v>
      </c>
      <c r="I50" s="729">
        <f t="shared" si="48"/>
        <v>6726.0920783999991</v>
      </c>
      <c r="J50" s="729">
        <f t="shared" si="48"/>
        <v>6726.0920783999991</v>
      </c>
      <c r="K50" s="729">
        <f t="shared" si="48"/>
        <v>6726.0920783999991</v>
      </c>
      <c r="L50" s="729">
        <f t="shared" si="48"/>
        <v>6726.0920783999991</v>
      </c>
      <c r="M50" s="729">
        <f t="shared" si="48"/>
        <v>6726.0920783999991</v>
      </c>
      <c r="N50" s="729">
        <f t="shared" si="48"/>
        <v>6726.0920783999991</v>
      </c>
      <c r="O50" s="729">
        <f t="shared" si="48"/>
        <v>6726.0920783999991</v>
      </c>
      <c r="P50" s="729">
        <f t="shared" si="48"/>
        <v>6726.0920783999991</v>
      </c>
      <c r="Q50" s="729">
        <f t="shared" si="48"/>
        <v>6726.0920783999991</v>
      </c>
      <c r="R50" s="729">
        <f t="shared" ref="R50" si="49">R49*$C$17</f>
        <v>6726.0920783999991</v>
      </c>
      <c r="S50" s="729">
        <f t="shared" ref="S50" si="50">S49*$C$17</f>
        <v>6726.0920783999991</v>
      </c>
      <c r="T50" s="729">
        <f t="shared" ref="T50" si="51">T49*$C$17</f>
        <v>6726.0920783999991</v>
      </c>
      <c r="U50" s="729">
        <f t="shared" ref="U50" si="52">U49*$C$17</f>
        <v>6726.0920783999991</v>
      </c>
      <c r="V50" s="729">
        <f t="shared" ref="V50" si="53">V49*$C$17</f>
        <v>6726.0920783999991</v>
      </c>
      <c r="W50" s="729">
        <f t="shared" ref="W50" si="54">W49*$C$17</f>
        <v>6726.0920783999991</v>
      </c>
      <c r="X50" s="729">
        <f t="shared" ref="X50" si="55">X49*$C$17</f>
        <v>6726.0920783999991</v>
      </c>
      <c r="Y50" s="729">
        <f t="shared" ref="Y50" si="56">Y49*$C$17</f>
        <v>6726.0920783999991</v>
      </c>
      <c r="Z50" s="729">
        <f t="shared" ref="Z50" si="57">Z49*$C$17</f>
        <v>6726.0920783999991</v>
      </c>
      <c r="AA50" s="729">
        <f t="shared" ref="AA50" si="58">AA49*$C$17</f>
        <v>6726.0920783999991</v>
      </c>
      <c r="AB50" s="729">
        <f t="shared" ref="AB50" si="59">AB49*$C$17</f>
        <v>0</v>
      </c>
      <c r="AC50" s="729">
        <f t="shared" ref="AC50" si="60">AC49*$C$17</f>
        <v>0</v>
      </c>
      <c r="AD50" s="729">
        <f t="shared" ref="AD50:AE50" si="61">AD49*$C$17</f>
        <v>0</v>
      </c>
      <c r="AE50" s="729">
        <f t="shared" si="61"/>
        <v>0</v>
      </c>
      <c r="AF50" s="729">
        <f t="shared" ref="AF50" si="62">AF49*$C$17</f>
        <v>0</v>
      </c>
      <c r="AG50" s="729">
        <f t="shared" ref="AG50" si="63">AG49*$C$17</f>
        <v>0</v>
      </c>
      <c r="AH50" s="729">
        <f t="shared" ref="AH50" si="64">AH49*$C$17</f>
        <v>0</v>
      </c>
      <c r="AI50" s="729">
        <f t="shared" ref="AI50" si="65">AI49*$C$17</f>
        <v>0</v>
      </c>
      <c r="AJ50" s="729">
        <f t="shared" ref="AJ50" si="66">AJ49*$C$17</f>
        <v>0</v>
      </c>
      <c r="AK50" s="729">
        <f t="shared" ref="AK50" si="67">AK49*$C$17</f>
        <v>0</v>
      </c>
      <c r="AL50" s="729">
        <f t="shared" ref="AL50" si="68">AL49*$C$17</f>
        <v>0</v>
      </c>
      <c r="AM50" s="729">
        <f t="shared" ref="AM50" si="69">AM49*$C$17</f>
        <v>0</v>
      </c>
      <c r="AN50" s="729">
        <f t="shared" ref="AN50" si="70">AN49*$C$17</f>
        <v>0</v>
      </c>
      <c r="AO50" s="729">
        <f t="shared" ref="AO50" si="71">AO49*$C$17</f>
        <v>0</v>
      </c>
      <c r="AP50" s="729">
        <f t="shared" ref="AP50" si="72">AP49*$C$17</f>
        <v>0</v>
      </c>
      <c r="AQ50" s="729">
        <f t="shared" ref="AQ50" si="73">AQ49*$C$17</f>
        <v>0</v>
      </c>
      <c r="AR50" s="729">
        <f t="shared" ref="AR50:AS50" si="74">AR49*$C$17</f>
        <v>0</v>
      </c>
      <c r="AS50" s="729">
        <f t="shared" si="74"/>
        <v>0</v>
      </c>
      <c r="AT50" s="729">
        <f t="shared" ref="AT50" si="75">AT49*$C$17</f>
        <v>0</v>
      </c>
      <c r="AU50" s="747">
        <f t="shared" ref="AU50" si="76">AU49*$C$17</f>
        <v>0</v>
      </c>
    </row>
    <row r="51" spans="2:47" s="15" customFormat="1" ht="13.5" outlineLevel="1" x14ac:dyDescent="0.25">
      <c r="B51" s="431" t="s">
        <v>1096</v>
      </c>
      <c r="C51" s="717">
        <f>C50*$C$24</f>
        <v>0</v>
      </c>
      <c r="D51" s="717">
        <f t="shared" ref="D51:AU51" si="77">D50*$C$24</f>
        <v>0</v>
      </c>
      <c r="E51" s="717">
        <f t="shared" si="77"/>
        <v>0</v>
      </c>
      <c r="F51" s="717">
        <f t="shared" si="77"/>
        <v>0</v>
      </c>
      <c r="G51" s="717">
        <f t="shared" si="77"/>
        <v>0</v>
      </c>
      <c r="H51" s="717">
        <f t="shared" si="77"/>
        <v>0</v>
      </c>
      <c r="I51" s="717">
        <f t="shared" si="77"/>
        <v>0</v>
      </c>
      <c r="J51" s="717">
        <f t="shared" si="77"/>
        <v>0</v>
      </c>
      <c r="K51" s="717">
        <f t="shared" si="77"/>
        <v>0</v>
      </c>
      <c r="L51" s="717">
        <f t="shared" si="77"/>
        <v>0</v>
      </c>
      <c r="M51" s="717">
        <f t="shared" si="77"/>
        <v>0</v>
      </c>
      <c r="N51" s="717">
        <f t="shared" si="77"/>
        <v>0</v>
      </c>
      <c r="O51" s="717">
        <f t="shared" si="77"/>
        <v>0</v>
      </c>
      <c r="P51" s="717">
        <f t="shared" si="77"/>
        <v>0</v>
      </c>
      <c r="Q51" s="717">
        <f t="shared" si="77"/>
        <v>0</v>
      </c>
      <c r="R51" s="717">
        <f t="shared" si="77"/>
        <v>0</v>
      </c>
      <c r="S51" s="717">
        <f t="shared" si="77"/>
        <v>0</v>
      </c>
      <c r="T51" s="717">
        <f t="shared" si="77"/>
        <v>0</v>
      </c>
      <c r="U51" s="717">
        <f t="shared" si="77"/>
        <v>0</v>
      </c>
      <c r="V51" s="717">
        <f t="shared" si="77"/>
        <v>0</v>
      </c>
      <c r="W51" s="717">
        <f t="shared" si="77"/>
        <v>0</v>
      </c>
      <c r="X51" s="717">
        <f t="shared" si="77"/>
        <v>0</v>
      </c>
      <c r="Y51" s="717">
        <f t="shared" si="77"/>
        <v>0</v>
      </c>
      <c r="Z51" s="717">
        <f t="shared" si="77"/>
        <v>0</v>
      </c>
      <c r="AA51" s="717">
        <f t="shared" si="77"/>
        <v>0</v>
      </c>
      <c r="AB51" s="717">
        <f t="shared" si="77"/>
        <v>0</v>
      </c>
      <c r="AC51" s="717">
        <f t="shared" si="77"/>
        <v>0</v>
      </c>
      <c r="AD51" s="717">
        <f t="shared" si="77"/>
        <v>0</v>
      </c>
      <c r="AE51" s="717">
        <f t="shared" si="77"/>
        <v>0</v>
      </c>
      <c r="AF51" s="717">
        <f t="shared" si="77"/>
        <v>0</v>
      </c>
      <c r="AG51" s="717">
        <f t="shared" si="77"/>
        <v>0</v>
      </c>
      <c r="AH51" s="717">
        <f t="shared" si="77"/>
        <v>0</v>
      </c>
      <c r="AI51" s="717">
        <f t="shared" si="77"/>
        <v>0</v>
      </c>
      <c r="AJ51" s="717">
        <f t="shared" si="77"/>
        <v>0</v>
      </c>
      <c r="AK51" s="717">
        <f t="shared" si="77"/>
        <v>0</v>
      </c>
      <c r="AL51" s="717">
        <f t="shared" si="77"/>
        <v>0</v>
      </c>
      <c r="AM51" s="717">
        <f t="shared" si="77"/>
        <v>0</v>
      </c>
      <c r="AN51" s="717">
        <f t="shared" si="77"/>
        <v>0</v>
      </c>
      <c r="AO51" s="717">
        <f t="shared" si="77"/>
        <v>0</v>
      </c>
      <c r="AP51" s="717">
        <f t="shared" si="77"/>
        <v>0</v>
      </c>
      <c r="AQ51" s="717">
        <f t="shared" si="77"/>
        <v>0</v>
      </c>
      <c r="AR51" s="717">
        <f t="shared" si="77"/>
        <v>0</v>
      </c>
      <c r="AS51" s="717">
        <f t="shared" si="77"/>
        <v>0</v>
      </c>
      <c r="AT51" s="717">
        <f t="shared" si="77"/>
        <v>0</v>
      </c>
      <c r="AU51" s="718">
        <f t="shared" si="77"/>
        <v>0</v>
      </c>
    </row>
    <row r="52" spans="2:47" s="15" customFormat="1" ht="13.5" outlineLevel="1" x14ac:dyDescent="0.25">
      <c r="B52" s="431"/>
      <c r="C52" s="717"/>
      <c r="D52" s="717"/>
      <c r="E52" s="717"/>
      <c r="F52" s="717"/>
      <c r="G52" s="717"/>
      <c r="H52" s="717"/>
      <c r="I52" s="717"/>
      <c r="J52" s="717"/>
      <c r="K52" s="717"/>
      <c r="L52" s="717"/>
      <c r="M52" s="717"/>
      <c r="N52" s="717"/>
      <c r="O52" s="717"/>
      <c r="P52" s="717"/>
      <c r="Q52" s="717"/>
      <c r="R52" s="717"/>
      <c r="S52" s="717"/>
      <c r="T52" s="717"/>
      <c r="U52" s="717"/>
      <c r="V52" s="717"/>
      <c r="W52" s="717"/>
      <c r="X52" s="717"/>
      <c r="Y52" s="717"/>
      <c r="Z52" s="717"/>
      <c r="AA52" s="717"/>
      <c r="AB52" s="717"/>
      <c r="AC52" s="717"/>
      <c r="AD52" s="717"/>
      <c r="AE52" s="717"/>
      <c r="AF52" s="717"/>
      <c r="AG52" s="717"/>
      <c r="AH52" s="717"/>
      <c r="AI52" s="717"/>
      <c r="AJ52" s="717"/>
      <c r="AK52" s="717"/>
      <c r="AL52" s="717"/>
      <c r="AM52" s="717"/>
      <c r="AN52" s="717"/>
      <c r="AO52" s="717"/>
      <c r="AP52" s="717"/>
      <c r="AQ52" s="717"/>
      <c r="AR52" s="717"/>
      <c r="AS52" s="717"/>
      <c r="AT52" s="717"/>
      <c r="AU52" s="718"/>
    </row>
    <row r="53" spans="2:47" s="15" customFormat="1" ht="13.5" outlineLevel="1" x14ac:dyDescent="0.25">
      <c r="B53" s="723" t="s">
        <v>1175</v>
      </c>
      <c r="C53" s="799">
        <f>C49*$C$22/1000</f>
        <v>0</v>
      </c>
      <c r="D53" s="799">
        <f t="shared" ref="D53:AU53" si="78">D49*$C$22/1000</f>
        <v>37.367178213333332</v>
      </c>
      <c r="E53" s="799">
        <f t="shared" si="78"/>
        <v>37.367178213333332</v>
      </c>
      <c r="F53" s="799">
        <f t="shared" si="78"/>
        <v>37.367178213333332</v>
      </c>
      <c r="G53" s="799">
        <f t="shared" si="78"/>
        <v>37.367178213333332</v>
      </c>
      <c r="H53" s="799">
        <f t="shared" si="78"/>
        <v>37.367178213333332</v>
      </c>
      <c r="I53" s="799">
        <f t="shared" si="78"/>
        <v>37.367178213333332</v>
      </c>
      <c r="J53" s="799">
        <f t="shared" si="78"/>
        <v>37.367178213333332</v>
      </c>
      <c r="K53" s="799">
        <f t="shared" si="78"/>
        <v>37.367178213333332</v>
      </c>
      <c r="L53" s="799">
        <f t="shared" si="78"/>
        <v>37.367178213333332</v>
      </c>
      <c r="M53" s="799">
        <f t="shared" si="78"/>
        <v>37.367178213333332</v>
      </c>
      <c r="N53" s="799">
        <f t="shared" si="78"/>
        <v>37.367178213333332</v>
      </c>
      <c r="O53" s="799">
        <f t="shared" si="78"/>
        <v>37.367178213333332</v>
      </c>
      <c r="P53" s="799">
        <f t="shared" si="78"/>
        <v>37.367178213333332</v>
      </c>
      <c r="Q53" s="799">
        <f t="shared" si="78"/>
        <v>37.367178213333332</v>
      </c>
      <c r="R53" s="799">
        <f t="shared" si="78"/>
        <v>37.367178213333332</v>
      </c>
      <c r="S53" s="799">
        <f t="shared" si="78"/>
        <v>37.367178213333332</v>
      </c>
      <c r="T53" s="799">
        <f t="shared" si="78"/>
        <v>37.367178213333332</v>
      </c>
      <c r="U53" s="799">
        <f t="shared" si="78"/>
        <v>37.367178213333332</v>
      </c>
      <c r="V53" s="799">
        <f t="shared" si="78"/>
        <v>37.367178213333332</v>
      </c>
      <c r="W53" s="799">
        <f t="shared" si="78"/>
        <v>37.367178213333332</v>
      </c>
      <c r="X53" s="799">
        <f t="shared" si="78"/>
        <v>37.367178213333332</v>
      </c>
      <c r="Y53" s="799">
        <f t="shared" si="78"/>
        <v>37.367178213333332</v>
      </c>
      <c r="Z53" s="799">
        <f t="shared" si="78"/>
        <v>37.367178213333332</v>
      </c>
      <c r="AA53" s="799">
        <f t="shared" si="78"/>
        <v>37.367178213333332</v>
      </c>
      <c r="AB53" s="799">
        <f t="shared" si="78"/>
        <v>0</v>
      </c>
      <c r="AC53" s="799">
        <f t="shared" si="78"/>
        <v>0</v>
      </c>
      <c r="AD53" s="799">
        <f t="shared" si="78"/>
        <v>0</v>
      </c>
      <c r="AE53" s="799">
        <f t="shared" si="78"/>
        <v>0</v>
      </c>
      <c r="AF53" s="799">
        <f t="shared" si="78"/>
        <v>0</v>
      </c>
      <c r="AG53" s="799">
        <f t="shared" si="78"/>
        <v>0</v>
      </c>
      <c r="AH53" s="799">
        <f t="shared" si="78"/>
        <v>0</v>
      </c>
      <c r="AI53" s="799">
        <f t="shared" si="78"/>
        <v>0</v>
      </c>
      <c r="AJ53" s="799">
        <f t="shared" si="78"/>
        <v>0</v>
      </c>
      <c r="AK53" s="799">
        <f t="shared" si="78"/>
        <v>0</v>
      </c>
      <c r="AL53" s="799">
        <f t="shared" si="78"/>
        <v>0</v>
      </c>
      <c r="AM53" s="799">
        <f t="shared" si="78"/>
        <v>0</v>
      </c>
      <c r="AN53" s="799">
        <f t="shared" si="78"/>
        <v>0</v>
      </c>
      <c r="AO53" s="799">
        <f t="shared" si="78"/>
        <v>0</v>
      </c>
      <c r="AP53" s="799">
        <f t="shared" si="78"/>
        <v>0</v>
      </c>
      <c r="AQ53" s="799">
        <f t="shared" si="78"/>
        <v>0</v>
      </c>
      <c r="AR53" s="799">
        <f t="shared" si="78"/>
        <v>0</v>
      </c>
      <c r="AS53" s="799">
        <f t="shared" si="78"/>
        <v>0</v>
      </c>
      <c r="AT53" s="799">
        <f t="shared" si="78"/>
        <v>0</v>
      </c>
      <c r="AU53" s="800">
        <f t="shared" si="78"/>
        <v>0</v>
      </c>
    </row>
    <row r="54" spans="2:47" s="15" customFormat="1" ht="13.5" outlineLevel="1" x14ac:dyDescent="0.25">
      <c r="B54" s="727" t="s">
        <v>1176</v>
      </c>
      <c r="C54" s="799">
        <f>C53</f>
        <v>0</v>
      </c>
      <c r="D54" s="799">
        <f>C54+D53</f>
        <v>37.367178213333332</v>
      </c>
      <c r="E54" s="799">
        <f t="shared" ref="E54:AU54" si="79">D54+E53</f>
        <v>74.734356426666665</v>
      </c>
      <c r="F54" s="799">
        <f t="shared" si="79"/>
        <v>112.10153464</v>
      </c>
      <c r="G54" s="799">
        <f t="shared" si="79"/>
        <v>149.46871285333333</v>
      </c>
      <c r="H54" s="799">
        <f t="shared" si="79"/>
        <v>186.83589106666665</v>
      </c>
      <c r="I54" s="799">
        <f t="shared" si="79"/>
        <v>224.20306927999997</v>
      </c>
      <c r="J54" s="799">
        <f t="shared" si="79"/>
        <v>261.57024749333328</v>
      </c>
      <c r="K54" s="799">
        <f t="shared" si="79"/>
        <v>298.9374257066666</v>
      </c>
      <c r="L54" s="799">
        <f t="shared" si="79"/>
        <v>336.30460391999992</v>
      </c>
      <c r="M54" s="799">
        <f t="shared" si="79"/>
        <v>373.67178213333324</v>
      </c>
      <c r="N54" s="799">
        <f t="shared" si="79"/>
        <v>411.03896034666656</v>
      </c>
      <c r="O54" s="799">
        <f t="shared" si="79"/>
        <v>448.40613855999987</v>
      </c>
      <c r="P54" s="799">
        <f t="shared" si="79"/>
        <v>485.77331677333319</v>
      </c>
      <c r="Q54" s="799">
        <f t="shared" si="79"/>
        <v>523.14049498666657</v>
      </c>
      <c r="R54" s="799">
        <f t="shared" si="79"/>
        <v>560.50767319999989</v>
      </c>
      <c r="S54" s="799">
        <f t="shared" si="79"/>
        <v>597.8748514133332</v>
      </c>
      <c r="T54" s="799">
        <f t="shared" si="79"/>
        <v>635.24202962666652</v>
      </c>
      <c r="U54" s="799">
        <f t="shared" si="79"/>
        <v>672.60920783999984</v>
      </c>
      <c r="V54" s="799">
        <f t="shared" si="79"/>
        <v>709.97638605333316</v>
      </c>
      <c r="W54" s="799">
        <f t="shared" si="79"/>
        <v>747.34356426666648</v>
      </c>
      <c r="X54" s="799">
        <f t="shared" si="79"/>
        <v>784.71074247999979</v>
      </c>
      <c r="Y54" s="799">
        <f t="shared" si="79"/>
        <v>822.07792069333311</v>
      </c>
      <c r="Z54" s="799">
        <f t="shared" si="79"/>
        <v>859.44509890666643</v>
      </c>
      <c r="AA54" s="799">
        <f t="shared" si="79"/>
        <v>896.81227711999975</v>
      </c>
      <c r="AB54" s="799">
        <f t="shared" si="79"/>
        <v>896.81227711999975</v>
      </c>
      <c r="AC54" s="799">
        <f t="shared" si="79"/>
        <v>896.81227711999975</v>
      </c>
      <c r="AD54" s="799">
        <f t="shared" si="79"/>
        <v>896.81227711999975</v>
      </c>
      <c r="AE54" s="799">
        <f t="shared" si="79"/>
        <v>896.81227711999975</v>
      </c>
      <c r="AF54" s="799">
        <f t="shared" si="79"/>
        <v>896.81227711999975</v>
      </c>
      <c r="AG54" s="799">
        <f t="shared" si="79"/>
        <v>896.81227711999975</v>
      </c>
      <c r="AH54" s="799">
        <f t="shared" si="79"/>
        <v>896.81227711999975</v>
      </c>
      <c r="AI54" s="799">
        <f t="shared" si="79"/>
        <v>896.81227711999975</v>
      </c>
      <c r="AJ54" s="799">
        <f t="shared" si="79"/>
        <v>896.81227711999975</v>
      </c>
      <c r="AK54" s="799">
        <f t="shared" si="79"/>
        <v>896.81227711999975</v>
      </c>
      <c r="AL54" s="799">
        <f t="shared" si="79"/>
        <v>896.81227711999975</v>
      </c>
      <c r="AM54" s="799">
        <f t="shared" si="79"/>
        <v>896.81227711999975</v>
      </c>
      <c r="AN54" s="799">
        <f t="shared" si="79"/>
        <v>896.81227711999975</v>
      </c>
      <c r="AO54" s="799">
        <f t="shared" si="79"/>
        <v>896.81227711999975</v>
      </c>
      <c r="AP54" s="799">
        <f t="shared" si="79"/>
        <v>896.81227711999975</v>
      </c>
      <c r="AQ54" s="799">
        <f t="shared" si="79"/>
        <v>896.81227711999975</v>
      </c>
      <c r="AR54" s="799">
        <f t="shared" si="79"/>
        <v>896.81227711999975</v>
      </c>
      <c r="AS54" s="799">
        <f t="shared" si="79"/>
        <v>896.81227711999975</v>
      </c>
      <c r="AT54" s="799">
        <f t="shared" si="79"/>
        <v>896.81227711999975</v>
      </c>
      <c r="AU54" s="800">
        <f t="shared" si="79"/>
        <v>896.81227711999975</v>
      </c>
    </row>
    <row r="55" spans="2:47" s="15" customFormat="1" ht="13.5" outlineLevel="1" x14ac:dyDescent="0.25">
      <c r="B55" s="671" t="s">
        <v>1177</v>
      </c>
      <c r="C55" s="787">
        <f>C53/$C$20</f>
        <v>0</v>
      </c>
      <c r="D55" s="787">
        <f>D53/$C$20</f>
        <v>12.45572607111111</v>
      </c>
      <c r="E55" s="787">
        <f t="shared" ref="E55:O55" si="80">E53/$C$20</f>
        <v>12.45572607111111</v>
      </c>
      <c r="F55" s="787">
        <f t="shared" si="80"/>
        <v>12.45572607111111</v>
      </c>
      <c r="G55" s="787">
        <f t="shared" si="80"/>
        <v>12.45572607111111</v>
      </c>
      <c r="H55" s="787">
        <f t="shared" si="80"/>
        <v>12.45572607111111</v>
      </c>
      <c r="I55" s="787">
        <f t="shared" si="80"/>
        <v>12.45572607111111</v>
      </c>
      <c r="J55" s="787">
        <f t="shared" si="80"/>
        <v>12.45572607111111</v>
      </c>
      <c r="K55" s="787">
        <f t="shared" si="80"/>
        <v>12.45572607111111</v>
      </c>
      <c r="L55" s="787">
        <f t="shared" si="80"/>
        <v>12.45572607111111</v>
      </c>
      <c r="M55" s="787">
        <f t="shared" si="80"/>
        <v>12.45572607111111</v>
      </c>
      <c r="N55" s="787">
        <f t="shared" si="80"/>
        <v>12.45572607111111</v>
      </c>
      <c r="O55" s="787">
        <f t="shared" si="80"/>
        <v>12.45572607111111</v>
      </c>
      <c r="P55" s="787">
        <f t="shared" ref="P55:AU55" si="81">P53/$C$20</f>
        <v>12.45572607111111</v>
      </c>
      <c r="Q55" s="787">
        <f t="shared" si="81"/>
        <v>12.45572607111111</v>
      </c>
      <c r="R55" s="787">
        <f t="shared" si="81"/>
        <v>12.45572607111111</v>
      </c>
      <c r="S55" s="787">
        <f t="shared" si="81"/>
        <v>12.45572607111111</v>
      </c>
      <c r="T55" s="787">
        <f t="shared" si="81"/>
        <v>12.45572607111111</v>
      </c>
      <c r="U55" s="787">
        <f t="shared" si="81"/>
        <v>12.45572607111111</v>
      </c>
      <c r="V55" s="787">
        <f t="shared" si="81"/>
        <v>12.45572607111111</v>
      </c>
      <c r="W55" s="787">
        <f t="shared" si="81"/>
        <v>12.45572607111111</v>
      </c>
      <c r="X55" s="787">
        <f t="shared" si="81"/>
        <v>12.45572607111111</v>
      </c>
      <c r="Y55" s="787">
        <f t="shared" si="81"/>
        <v>12.45572607111111</v>
      </c>
      <c r="Z55" s="787">
        <f t="shared" si="81"/>
        <v>12.45572607111111</v>
      </c>
      <c r="AA55" s="787">
        <f t="shared" si="81"/>
        <v>12.45572607111111</v>
      </c>
      <c r="AB55" s="787">
        <f t="shared" si="81"/>
        <v>0</v>
      </c>
      <c r="AC55" s="787">
        <f t="shared" si="81"/>
        <v>0</v>
      </c>
      <c r="AD55" s="787">
        <f t="shared" si="81"/>
        <v>0</v>
      </c>
      <c r="AE55" s="787">
        <f t="shared" si="81"/>
        <v>0</v>
      </c>
      <c r="AF55" s="787">
        <f t="shared" si="81"/>
        <v>0</v>
      </c>
      <c r="AG55" s="787">
        <f t="shared" si="81"/>
        <v>0</v>
      </c>
      <c r="AH55" s="787">
        <f t="shared" si="81"/>
        <v>0</v>
      </c>
      <c r="AI55" s="787">
        <f t="shared" si="81"/>
        <v>0</v>
      </c>
      <c r="AJ55" s="787">
        <f t="shared" si="81"/>
        <v>0</v>
      </c>
      <c r="AK55" s="787">
        <f t="shared" si="81"/>
        <v>0</v>
      </c>
      <c r="AL55" s="787">
        <f t="shared" si="81"/>
        <v>0</v>
      </c>
      <c r="AM55" s="787">
        <f t="shared" si="81"/>
        <v>0</v>
      </c>
      <c r="AN55" s="787">
        <f t="shared" si="81"/>
        <v>0</v>
      </c>
      <c r="AO55" s="787">
        <f t="shared" si="81"/>
        <v>0</v>
      </c>
      <c r="AP55" s="787">
        <f t="shared" si="81"/>
        <v>0</v>
      </c>
      <c r="AQ55" s="787">
        <f t="shared" si="81"/>
        <v>0</v>
      </c>
      <c r="AR55" s="787">
        <f t="shared" si="81"/>
        <v>0</v>
      </c>
      <c r="AS55" s="787">
        <f t="shared" si="81"/>
        <v>0</v>
      </c>
      <c r="AT55" s="787">
        <f t="shared" si="81"/>
        <v>0</v>
      </c>
      <c r="AU55" s="788">
        <f t="shared" si="81"/>
        <v>0</v>
      </c>
    </row>
    <row r="56" spans="2:47" s="15" customFormat="1" ht="13.5" outlineLevel="1" x14ac:dyDescent="0.25">
      <c r="B56" s="722" t="s">
        <v>1176</v>
      </c>
      <c r="C56" s="787">
        <f>C55</f>
        <v>0</v>
      </c>
      <c r="D56" s="787">
        <f>C56+D55</f>
        <v>12.45572607111111</v>
      </c>
      <c r="E56" s="787">
        <f t="shared" ref="E56:O56" si="82">D56+E55</f>
        <v>24.91145214222222</v>
      </c>
      <c r="F56" s="787">
        <f t="shared" si="82"/>
        <v>37.367178213333332</v>
      </c>
      <c r="G56" s="787">
        <f t="shared" si="82"/>
        <v>49.822904284444441</v>
      </c>
      <c r="H56" s="787">
        <f t="shared" si="82"/>
        <v>62.278630355555549</v>
      </c>
      <c r="I56" s="787">
        <f t="shared" si="82"/>
        <v>74.734356426666665</v>
      </c>
      <c r="J56" s="787">
        <f t="shared" si="82"/>
        <v>87.19008249777778</v>
      </c>
      <c r="K56" s="787">
        <f t="shared" si="82"/>
        <v>99.645808568888896</v>
      </c>
      <c r="L56" s="787">
        <f t="shared" si="82"/>
        <v>112.10153464000001</v>
      </c>
      <c r="M56" s="787">
        <f t="shared" si="82"/>
        <v>124.55726071111113</v>
      </c>
      <c r="N56" s="787">
        <f t="shared" si="82"/>
        <v>137.01298678222224</v>
      </c>
      <c r="O56" s="787">
        <f t="shared" si="82"/>
        <v>149.46871285333336</v>
      </c>
      <c r="P56" s="787">
        <f t="shared" ref="P56" si="83">O56+P55</f>
        <v>161.92443892444447</v>
      </c>
      <c r="Q56" s="787">
        <f t="shared" ref="Q56" si="84">P56+Q55</f>
        <v>174.38016499555559</v>
      </c>
      <c r="R56" s="787">
        <f t="shared" ref="R56" si="85">Q56+R55</f>
        <v>186.8358910666667</v>
      </c>
      <c r="S56" s="787">
        <f t="shared" ref="S56" si="86">R56+S55</f>
        <v>199.29161713777782</v>
      </c>
      <c r="T56" s="787">
        <f t="shared" ref="T56" si="87">S56+T55</f>
        <v>211.74734320888894</v>
      </c>
      <c r="U56" s="787">
        <f t="shared" ref="U56" si="88">T56+U55</f>
        <v>224.20306928000005</v>
      </c>
      <c r="V56" s="787">
        <f t="shared" ref="V56" si="89">U56+V55</f>
        <v>236.65879535111117</v>
      </c>
      <c r="W56" s="787">
        <f t="shared" ref="W56" si="90">V56+W55</f>
        <v>249.11452142222228</v>
      </c>
      <c r="X56" s="787">
        <f t="shared" ref="X56" si="91">W56+X55</f>
        <v>261.5702474933334</v>
      </c>
      <c r="Y56" s="787">
        <f t="shared" ref="Y56:Z56" si="92">X56+Y55</f>
        <v>274.02597356444448</v>
      </c>
      <c r="Z56" s="787">
        <f t="shared" si="92"/>
        <v>286.48169963555557</v>
      </c>
      <c r="AA56" s="787">
        <f t="shared" ref="AA56" si="93">Z56+AA55</f>
        <v>298.93742570666666</v>
      </c>
      <c r="AB56" s="787">
        <f t="shared" ref="AB56" si="94">AA56+AB55</f>
        <v>298.93742570666666</v>
      </c>
      <c r="AC56" s="787">
        <f t="shared" ref="AC56" si="95">AB56+AC55</f>
        <v>298.93742570666666</v>
      </c>
      <c r="AD56" s="787">
        <f t="shared" ref="AD56" si="96">AC56+AD55</f>
        <v>298.93742570666666</v>
      </c>
      <c r="AE56" s="787">
        <f t="shared" ref="AE56" si="97">AD56+AE55</f>
        <v>298.93742570666666</v>
      </c>
      <c r="AF56" s="787">
        <f t="shared" ref="AF56" si="98">AE56+AF55</f>
        <v>298.93742570666666</v>
      </c>
      <c r="AG56" s="787">
        <f t="shared" ref="AG56" si="99">AF56+AG55</f>
        <v>298.93742570666666</v>
      </c>
      <c r="AH56" s="787">
        <f t="shared" ref="AH56" si="100">AG56+AH55</f>
        <v>298.93742570666666</v>
      </c>
      <c r="AI56" s="787">
        <f t="shared" ref="AI56" si="101">AH56+AI55</f>
        <v>298.93742570666666</v>
      </c>
      <c r="AJ56" s="787">
        <f t="shared" ref="AJ56:AK56" si="102">AI56+AJ55</f>
        <v>298.93742570666666</v>
      </c>
      <c r="AK56" s="787">
        <f t="shared" si="102"/>
        <v>298.93742570666666</v>
      </c>
      <c r="AL56" s="787">
        <f t="shared" ref="AL56" si="103">AK56+AL55</f>
        <v>298.93742570666666</v>
      </c>
      <c r="AM56" s="787">
        <f t="shared" ref="AM56" si="104">AL56+AM55</f>
        <v>298.93742570666666</v>
      </c>
      <c r="AN56" s="787">
        <f t="shared" ref="AN56" si="105">AM56+AN55</f>
        <v>298.93742570666666</v>
      </c>
      <c r="AO56" s="787">
        <f t="shared" ref="AO56" si="106">AN56+AO55</f>
        <v>298.93742570666666</v>
      </c>
      <c r="AP56" s="787">
        <f t="shared" ref="AP56" si="107">AO56+AP55</f>
        <v>298.93742570666666</v>
      </c>
      <c r="AQ56" s="787">
        <f t="shared" ref="AQ56" si="108">AP56+AQ55</f>
        <v>298.93742570666666</v>
      </c>
      <c r="AR56" s="787">
        <f t="shared" ref="AR56" si="109">AQ56+AR55</f>
        <v>298.93742570666666</v>
      </c>
      <c r="AS56" s="787">
        <f t="shared" ref="AS56" si="110">AR56+AS55</f>
        <v>298.93742570666666</v>
      </c>
      <c r="AT56" s="787">
        <f t="shared" ref="AT56" si="111">AS56+AT55</f>
        <v>298.93742570666666</v>
      </c>
      <c r="AU56" s="788">
        <f t="shared" ref="AU56" si="112">AT56+AU55</f>
        <v>298.93742570666666</v>
      </c>
    </row>
    <row r="57" spans="2:47" s="15" customFormat="1" ht="13.5" outlineLevel="1" x14ac:dyDescent="0.25">
      <c r="B57" s="723" t="s">
        <v>1178</v>
      </c>
      <c r="C57" s="799">
        <f>C53/$C$26</f>
        <v>0</v>
      </c>
      <c r="D57" s="799">
        <f t="shared" ref="D57:AU57" si="113">D53/$C$26</f>
        <v>39.333871803508771</v>
      </c>
      <c r="E57" s="799">
        <f t="shared" si="113"/>
        <v>39.333871803508771</v>
      </c>
      <c r="F57" s="799">
        <f t="shared" si="113"/>
        <v>39.333871803508771</v>
      </c>
      <c r="G57" s="799">
        <f t="shared" si="113"/>
        <v>39.333871803508771</v>
      </c>
      <c r="H57" s="799">
        <f t="shared" si="113"/>
        <v>39.333871803508771</v>
      </c>
      <c r="I57" s="799">
        <f t="shared" si="113"/>
        <v>39.333871803508771</v>
      </c>
      <c r="J57" s="799">
        <f t="shared" si="113"/>
        <v>39.333871803508771</v>
      </c>
      <c r="K57" s="799">
        <f t="shared" si="113"/>
        <v>39.333871803508771</v>
      </c>
      <c r="L57" s="799">
        <f t="shared" si="113"/>
        <v>39.333871803508771</v>
      </c>
      <c r="M57" s="799">
        <f t="shared" si="113"/>
        <v>39.333871803508771</v>
      </c>
      <c r="N57" s="799">
        <f t="shared" si="113"/>
        <v>39.333871803508771</v>
      </c>
      <c r="O57" s="799">
        <f t="shared" si="113"/>
        <v>39.333871803508771</v>
      </c>
      <c r="P57" s="799">
        <f t="shared" si="113"/>
        <v>39.333871803508771</v>
      </c>
      <c r="Q57" s="799">
        <f t="shared" si="113"/>
        <v>39.333871803508771</v>
      </c>
      <c r="R57" s="799">
        <f t="shared" si="113"/>
        <v>39.333871803508771</v>
      </c>
      <c r="S57" s="799">
        <f t="shared" si="113"/>
        <v>39.333871803508771</v>
      </c>
      <c r="T57" s="799">
        <f t="shared" si="113"/>
        <v>39.333871803508771</v>
      </c>
      <c r="U57" s="799">
        <f t="shared" si="113"/>
        <v>39.333871803508771</v>
      </c>
      <c r="V57" s="799">
        <f t="shared" si="113"/>
        <v>39.333871803508771</v>
      </c>
      <c r="W57" s="799">
        <f t="shared" si="113"/>
        <v>39.333871803508771</v>
      </c>
      <c r="X57" s="799">
        <f t="shared" si="113"/>
        <v>39.333871803508771</v>
      </c>
      <c r="Y57" s="799">
        <f t="shared" si="113"/>
        <v>39.333871803508771</v>
      </c>
      <c r="Z57" s="799">
        <f t="shared" si="113"/>
        <v>39.333871803508771</v>
      </c>
      <c r="AA57" s="799">
        <f t="shared" si="113"/>
        <v>39.333871803508771</v>
      </c>
      <c r="AB57" s="799">
        <f t="shared" si="113"/>
        <v>0</v>
      </c>
      <c r="AC57" s="799">
        <f t="shared" si="113"/>
        <v>0</v>
      </c>
      <c r="AD57" s="799">
        <f t="shared" si="113"/>
        <v>0</v>
      </c>
      <c r="AE57" s="799">
        <f t="shared" si="113"/>
        <v>0</v>
      </c>
      <c r="AF57" s="799">
        <f t="shared" si="113"/>
        <v>0</v>
      </c>
      <c r="AG57" s="799">
        <f t="shared" si="113"/>
        <v>0</v>
      </c>
      <c r="AH57" s="799">
        <f t="shared" si="113"/>
        <v>0</v>
      </c>
      <c r="AI57" s="799">
        <f t="shared" si="113"/>
        <v>0</v>
      </c>
      <c r="AJ57" s="799">
        <f t="shared" si="113"/>
        <v>0</v>
      </c>
      <c r="AK57" s="799">
        <f t="shared" si="113"/>
        <v>0</v>
      </c>
      <c r="AL57" s="799">
        <f t="shared" si="113"/>
        <v>0</v>
      </c>
      <c r="AM57" s="799">
        <f t="shared" si="113"/>
        <v>0</v>
      </c>
      <c r="AN57" s="799">
        <f t="shared" si="113"/>
        <v>0</v>
      </c>
      <c r="AO57" s="799">
        <f t="shared" si="113"/>
        <v>0</v>
      </c>
      <c r="AP57" s="799">
        <f t="shared" si="113"/>
        <v>0</v>
      </c>
      <c r="AQ57" s="799">
        <f t="shared" si="113"/>
        <v>0</v>
      </c>
      <c r="AR57" s="799">
        <f t="shared" si="113"/>
        <v>0</v>
      </c>
      <c r="AS57" s="799">
        <f t="shared" si="113"/>
        <v>0</v>
      </c>
      <c r="AT57" s="799">
        <f t="shared" si="113"/>
        <v>0</v>
      </c>
      <c r="AU57" s="800">
        <f t="shared" si="113"/>
        <v>0</v>
      </c>
    </row>
    <row r="58" spans="2:47" s="15" customFormat="1" ht="13.5" outlineLevel="1" x14ac:dyDescent="0.25">
      <c r="B58" s="727" t="s">
        <v>1179</v>
      </c>
      <c r="C58" s="799">
        <f>C57</f>
        <v>0</v>
      </c>
      <c r="D58" s="799">
        <f>C58+D57</f>
        <v>39.333871803508771</v>
      </c>
      <c r="E58" s="799">
        <f t="shared" ref="E58:AU58" si="114">D58+E57</f>
        <v>78.667743607017542</v>
      </c>
      <c r="F58" s="799">
        <f t="shared" si="114"/>
        <v>118.00161541052631</v>
      </c>
      <c r="G58" s="799">
        <f t="shared" si="114"/>
        <v>157.33548721403508</v>
      </c>
      <c r="H58" s="799">
        <f t="shared" si="114"/>
        <v>196.66935901754385</v>
      </c>
      <c r="I58" s="799">
        <f t="shared" si="114"/>
        <v>236.00323082105263</v>
      </c>
      <c r="J58" s="799">
        <f t="shared" si="114"/>
        <v>275.3371026245614</v>
      </c>
      <c r="K58" s="799">
        <f t="shared" si="114"/>
        <v>314.67097442807017</v>
      </c>
      <c r="L58" s="799">
        <f t="shared" si="114"/>
        <v>354.00484623157894</v>
      </c>
      <c r="M58" s="799">
        <f t="shared" si="114"/>
        <v>393.33871803508771</v>
      </c>
      <c r="N58" s="799">
        <f t="shared" si="114"/>
        <v>432.67258983859648</v>
      </c>
      <c r="O58" s="799">
        <f t="shared" si="114"/>
        <v>472.00646164210525</v>
      </c>
      <c r="P58" s="799">
        <f t="shared" si="114"/>
        <v>511.34033344561402</v>
      </c>
      <c r="Q58" s="799">
        <f t="shared" si="114"/>
        <v>550.67420524912279</v>
      </c>
      <c r="R58" s="799">
        <f t="shared" si="114"/>
        <v>590.00807705263151</v>
      </c>
      <c r="S58" s="799">
        <f t="shared" si="114"/>
        <v>629.34194885614033</v>
      </c>
      <c r="T58" s="799">
        <f t="shared" si="114"/>
        <v>668.67582065964916</v>
      </c>
      <c r="U58" s="799">
        <f t="shared" si="114"/>
        <v>708.00969246315799</v>
      </c>
      <c r="V58" s="799">
        <f t="shared" si="114"/>
        <v>747.34356426666682</v>
      </c>
      <c r="W58" s="799">
        <f t="shared" si="114"/>
        <v>786.67743607017564</v>
      </c>
      <c r="X58" s="799">
        <f t="shared" si="114"/>
        <v>826.01130787368447</v>
      </c>
      <c r="Y58" s="799">
        <f t="shared" si="114"/>
        <v>865.3451796771933</v>
      </c>
      <c r="Z58" s="799">
        <f t="shared" si="114"/>
        <v>904.67905148070213</v>
      </c>
      <c r="AA58" s="799">
        <f t="shared" si="114"/>
        <v>944.01292328421096</v>
      </c>
      <c r="AB58" s="799">
        <f t="shared" si="114"/>
        <v>944.01292328421096</v>
      </c>
      <c r="AC58" s="799">
        <f t="shared" si="114"/>
        <v>944.01292328421096</v>
      </c>
      <c r="AD58" s="799">
        <f t="shared" si="114"/>
        <v>944.01292328421096</v>
      </c>
      <c r="AE58" s="799">
        <f t="shared" si="114"/>
        <v>944.01292328421096</v>
      </c>
      <c r="AF58" s="799">
        <f t="shared" si="114"/>
        <v>944.01292328421096</v>
      </c>
      <c r="AG58" s="799">
        <f t="shared" si="114"/>
        <v>944.01292328421096</v>
      </c>
      <c r="AH58" s="799">
        <f t="shared" si="114"/>
        <v>944.01292328421096</v>
      </c>
      <c r="AI58" s="799">
        <f t="shared" si="114"/>
        <v>944.01292328421096</v>
      </c>
      <c r="AJ58" s="799">
        <f t="shared" si="114"/>
        <v>944.01292328421096</v>
      </c>
      <c r="AK58" s="799">
        <f t="shared" si="114"/>
        <v>944.01292328421096</v>
      </c>
      <c r="AL58" s="799">
        <f t="shared" si="114"/>
        <v>944.01292328421096</v>
      </c>
      <c r="AM58" s="799">
        <f t="shared" si="114"/>
        <v>944.01292328421096</v>
      </c>
      <c r="AN58" s="799">
        <f t="shared" si="114"/>
        <v>944.01292328421096</v>
      </c>
      <c r="AO58" s="799">
        <f t="shared" si="114"/>
        <v>944.01292328421096</v>
      </c>
      <c r="AP58" s="799">
        <f t="shared" si="114"/>
        <v>944.01292328421096</v>
      </c>
      <c r="AQ58" s="799">
        <f t="shared" si="114"/>
        <v>944.01292328421096</v>
      </c>
      <c r="AR58" s="799">
        <f t="shared" si="114"/>
        <v>944.01292328421096</v>
      </c>
      <c r="AS58" s="799">
        <f t="shared" si="114"/>
        <v>944.01292328421096</v>
      </c>
      <c r="AT58" s="799">
        <f t="shared" si="114"/>
        <v>944.01292328421096</v>
      </c>
      <c r="AU58" s="800">
        <f t="shared" si="114"/>
        <v>944.01292328421096</v>
      </c>
    </row>
    <row r="59" spans="2:47" s="39" customFormat="1" ht="13.5" outlineLevel="1" x14ac:dyDescent="0.25">
      <c r="B59" s="715" t="s">
        <v>931</v>
      </c>
      <c r="C59" s="683">
        <f>C58*SISENDID!$C$72*1000</f>
        <v>0</v>
      </c>
      <c r="D59" s="683">
        <f>D58*SISENDID!$C$72*1000</f>
        <v>7834.9139245409124</v>
      </c>
      <c r="E59" s="683">
        <f>E58*SISENDID!$C$72*1000</f>
        <v>15669.827849081825</v>
      </c>
      <c r="F59" s="683">
        <f>F58*SISENDID!$C$72*1000</f>
        <v>23504.741773622736</v>
      </c>
      <c r="G59" s="683">
        <f>G58*SISENDID!$C$72*1000</f>
        <v>31339.65569816365</v>
      </c>
      <c r="H59" s="683">
        <f>H58*SISENDID!$C$72*1000</f>
        <v>39174.569622704563</v>
      </c>
      <c r="I59" s="683">
        <f>I58*SISENDID!$C$72*1000</f>
        <v>47009.483547245472</v>
      </c>
      <c r="J59" s="683">
        <f>J58*SISENDID!$C$72*1000</f>
        <v>54844.397471786389</v>
      </c>
      <c r="K59" s="683">
        <f>K58*SISENDID!$C$72*1000</f>
        <v>62679.311396327299</v>
      </c>
      <c r="L59" s="683">
        <f>L58*SISENDID!$C$72*1000</f>
        <v>70514.225320868209</v>
      </c>
      <c r="M59" s="683">
        <f>M58*SISENDID!$C$72*1000</f>
        <v>78349.139245409126</v>
      </c>
      <c r="N59" s="683">
        <f>N58*SISENDID!$C$72*1000</f>
        <v>86184.053169950028</v>
      </c>
      <c r="O59" s="683">
        <f>O58*SISENDID!$C$72*1000</f>
        <v>94018.967094490945</v>
      </c>
      <c r="P59" s="683">
        <f>P58*SISENDID!$C$72*1000</f>
        <v>101853.88101903186</v>
      </c>
      <c r="Q59" s="683">
        <f>Q58*SISENDID!$C$72*1000</f>
        <v>109688.79494357278</v>
      </c>
      <c r="R59" s="683">
        <f>R58*SISENDID!$C$72*1000</f>
        <v>117523.70886811367</v>
      </c>
      <c r="S59" s="683">
        <f>S58*SISENDID!$C$72*1000</f>
        <v>125358.6227926546</v>
      </c>
      <c r="T59" s="683">
        <f>T58*SISENDID!$C$72*1000</f>
        <v>133193.5367171955</v>
      </c>
      <c r="U59" s="683">
        <f>U58*SISENDID!$C$72*1000</f>
        <v>141028.45064173645</v>
      </c>
      <c r="V59" s="683">
        <f>V58*SISENDID!$C$72*1000</f>
        <v>148863.36456627736</v>
      </c>
      <c r="W59" s="683">
        <f>W58*SISENDID!$C$72*1000</f>
        <v>156698.27849081831</v>
      </c>
      <c r="X59" s="683">
        <f>X58*SISENDID!$C$72*1000</f>
        <v>164533.19241535923</v>
      </c>
      <c r="Y59" s="683">
        <f>Y58*SISENDID!$C$72*1000</f>
        <v>172368.10633990014</v>
      </c>
      <c r="Z59" s="683">
        <f>Z58*SISENDID!$C$72*1000</f>
        <v>180203.02026444106</v>
      </c>
      <c r="AA59" s="683">
        <f>AA58*SISENDID!$C$72*1000</f>
        <v>188037.93418898198</v>
      </c>
      <c r="AB59" s="683">
        <f>AB58*SISENDID!$C$72*1000</f>
        <v>188037.93418898198</v>
      </c>
      <c r="AC59" s="683">
        <f>AC58*SISENDID!$C$72*1000</f>
        <v>188037.93418898198</v>
      </c>
      <c r="AD59" s="683">
        <f>AD58*SISENDID!$C$72*1000</f>
        <v>188037.93418898198</v>
      </c>
      <c r="AE59" s="683">
        <f>AE58*SISENDID!$C$72*1000</f>
        <v>188037.93418898198</v>
      </c>
      <c r="AF59" s="683">
        <f>AF58*SISENDID!$C$72*1000</f>
        <v>188037.93418898198</v>
      </c>
      <c r="AG59" s="683">
        <f>AG58*SISENDID!$C$72*1000</f>
        <v>188037.93418898198</v>
      </c>
      <c r="AH59" s="683">
        <f>AH58*SISENDID!$C$72*1000</f>
        <v>188037.93418898198</v>
      </c>
      <c r="AI59" s="683">
        <f>AI58*SISENDID!$C$72*1000</f>
        <v>188037.93418898198</v>
      </c>
      <c r="AJ59" s="683">
        <f>AJ58*SISENDID!$C$72*1000</f>
        <v>188037.93418898198</v>
      </c>
      <c r="AK59" s="683">
        <f>AK58*SISENDID!$C$72*1000</f>
        <v>188037.93418898198</v>
      </c>
      <c r="AL59" s="683">
        <f>AL58*SISENDID!$C$72*1000</f>
        <v>188037.93418898198</v>
      </c>
      <c r="AM59" s="683">
        <f>AM58*SISENDID!$C$72*1000</f>
        <v>188037.93418898198</v>
      </c>
      <c r="AN59" s="683">
        <f>AN58*SISENDID!$C$72*1000</f>
        <v>188037.93418898198</v>
      </c>
      <c r="AO59" s="683">
        <f>AO58*SISENDID!$C$72*1000</f>
        <v>188037.93418898198</v>
      </c>
      <c r="AP59" s="683">
        <f>AP58*SISENDID!$C$72*1000</f>
        <v>188037.93418898198</v>
      </c>
      <c r="AQ59" s="683">
        <f>AQ58*SISENDID!$C$72*1000</f>
        <v>188037.93418898198</v>
      </c>
      <c r="AR59" s="683">
        <f>AR58*SISENDID!$C$72*1000</f>
        <v>188037.93418898198</v>
      </c>
      <c r="AS59" s="683">
        <f>AS58*SISENDID!$C$72*1000</f>
        <v>188037.93418898198</v>
      </c>
      <c r="AT59" s="683">
        <f>AT58*SISENDID!$C$72*1000</f>
        <v>188037.93418898198</v>
      </c>
      <c r="AU59" s="429">
        <f>AU58*SISENDID!$C$72*1000</f>
        <v>188037.93418898198</v>
      </c>
    </row>
    <row r="60" spans="2:47" s="15" customFormat="1" ht="18.75" customHeight="1" x14ac:dyDescent="0.25"/>
    <row r="61" spans="2:47" s="15" customFormat="1" ht="13.5" x14ac:dyDescent="0.25"/>
    <row r="62" spans="2:47" s="15" customFormat="1" ht="13.5" x14ac:dyDescent="0.25"/>
    <row r="63" spans="2:47" x14ac:dyDescent="0.25">
      <c r="C63" s="237"/>
      <c r="D63" s="237"/>
    </row>
    <row r="64" spans="2:47" x14ac:dyDescent="0.25">
      <c r="C64" s="238"/>
      <c r="D64" s="237"/>
    </row>
    <row r="65" spans="3:4" x14ac:dyDescent="0.25">
      <c r="C65" s="238"/>
      <c r="D65" s="237"/>
    </row>
    <row r="66" spans="3:4" x14ac:dyDescent="0.25">
      <c r="C66" s="238"/>
      <c r="D66" s="239"/>
    </row>
    <row r="67" spans="3:4" x14ac:dyDescent="0.25">
      <c r="C67" s="238"/>
      <c r="D67" s="240"/>
    </row>
    <row r="68" spans="3:4" x14ac:dyDescent="0.25">
      <c r="C68" s="238"/>
      <c r="D68" s="237"/>
    </row>
    <row r="69" spans="3:4" x14ac:dyDescent="0.25">
      <c r="C69" s="237"/>
      <c r="D69" s="237"/>
    </row>
    <row r="70" spans="3:4" x14ac:dyDescent="0.25">
      <c r="C70" s="237"/>
      <c r="D70" s="237"/>
    </row>
    <row r="71" spans="3:4" x14ac:dyDescent="0.25">
      <c r="C71" s="237"/>
      <c r="D71" s="239"/>
    </row>
    <row r="72" spans="3:4" x14ac:dyDescent="0.25">
      <c r="C72" s="237"/>
      <c r="D72" s="239"/>
    </row>
  </sheetData>
  <sheetProtection algorithmName="SHA-512" hashValue="OcMgdgsnBilIx1z7XUVcbV6bFIb1j2WVVj6KgczhayMZD2UZvWj+E+Il+l0qPEUI7/d15Cqs2oPFm3jgfkQmrA==" saltValue="PMHWSyMaCwNwdJxwupUgOA==" spinCount="100000" sheet="1" objects="1" scenarios="1" selectLockedCells="1"/>
  <mergeCells count="1">
    <mergeCell ref="C3:L3"/>
  </mergeCells>
  <conditionalFormatting sqref="C41:C43">
    <cfRule type="containsText" dxfId="53" priority="1" operator="containsText" text="Kõrge">
      <formula>NOT(ISERROR(SEARCH("Kõrge",C41)))</formula>
    </cfRule>
    <cfRule type="containsText" dxfId="52" priority="2" operator="containsText" text="Mõõdukas">
      <formula>NOT(ISERROR(SEARCH("Mõõdukas",C41)))</formula>
    </cfRule>
    <cfRule type="containsText" dxfId="51" priority="3" operator="containsText" text="Madal">
      <formula>NOT(ISERROR(SEARCH("Madal",C41)))</formula>
    </cfRule>
  </conditionalFormatting>
  <dataValidations count="3">
    <dataValidation type="list" allowBlank="1" showInputMessage="1" showErrorMessage="1" sqref="C42" xr:uid="{657D1551-1348-4506-8E88-82DFA0C41667}">
      <formula1>I41:I43</formula1>
    </dataValidation>
    <dataValidation type="list" allowBlank="1" showInputMessage="1" showErrorMessage="1" sqref="C41" xr:uid="{0F899BFA-AEBC-48BA-B83F-CEA83318EA9F}">
      <formula1>I41:I43</formula1>
    </dataValidation>
    <dataValidation type="list" allowBlank="1" showInputMessage="1" showErrorMessage="1" sqref="C43" xr:uid="{9904ACDA-52B5-40D6-AE50-2C9CAAEC653B}">
      <formula1>I41:I43</formula1>
    </dataValidation>
  </dataValidations>
  <hyperlinks>
    <hyperlink ref="B1" location="MEETMED!A1" display="&lt;-MEETMETE NIMEKIRI" xr:uid="{529A52DE-B67F-4706-9934-9993501D7D81}"/>
  </hyperlink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325B6-90E5-4115-940F-C3A64AC59726}">
  <sheetPr>
    <tabColor theme="5" tint="0.79998168889431442"/>
  </sheetPr>
  <dimension ref="A1:AY102"/>
  <sheetViews>
    <sheetView showGridLines="0" zoomScale="80" zoomScaleNormal="80" workbookViewId="0">
      <selection activeCell="C31" sqref="C31"/>
    </sheetView>
  </sheetViews>
  <sheetFormatPr defaultColWidth="8.85546875" defaultRowHeight="15" outlineLevelRow="1" x14ac:dyDescent="0.25"/>
  <cols>
    <col min="1" max="1" width="2.28515625" customWidth="1"/>
    <col min="2" max="2" width="43.42578125" customWidth="1"/>
    <col min="3" max="4" width="11.285156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84" customHeight="1" x14ac:dyDescent="0.25">
      <c r="A3" s="260" t="s">
        <v>426</v>
      </c>
      <c r="B3" s="700" t="e">
        <f>"MEEDE: "&amp;VLOOKUP(A3,MEETMED!B:G,2,FALSE)</f>
        <v>#N/A</v>
      </c>
      <c r="C3" s="700"/>
      <c r="D3" s="990" t="str" cm="1">
        <f t="array" ref="D3">IF(A3="","",_xlfn.LET(
_xlpm.k,TRIM(A3),
_xlpm.codes,IF(ISNUMBER(SEARCH("-",_xlpm.k)),
_xlfn.LET(
_xlpm.startPart,_xlfn.TEXTBEFORE(_xlpm.k,"-"),
_xlpm.endNum,--_xlfn.TEXTAFTER(_xlpm.k,"-"),
_xlpm.p,MIN(IFERROR(FIND({0;1;2;3;4;5;6;7;8;9},_xlpm.startPart),1000000000)),
_xlpm.prefix,LEFT(_xlpm.startPart,_xlpm.p-1),
_xlpm.startNum,--MID(_xlpm.startPart,_xlpm.p,99),
_xlpm.prefix&amp;_xlfn.SEQUENCE(_xlpm.endNum-_xlpm.startNum+1,1,_xlpm.startNum,1)
),
_xlpm.k
),
_xlpm.tegevused,IFERROR(_xlfn._xlws.FILTER(MEETMED!$D:$D,ISNUMBER(MATCH(MEETMED!$B:$B,_xlpm.codes,0))),""),
"TEGEVUS: "&amp;_xlfn.TEXTJOIN(CHAR(10),TRUE,_xlpm.tegevused)
))</f>
        <v>TEGEVUS: I etapi teostus - trammiteede põhivõrk (mh Liivalaia, Sõle, Peetri ja Laagna trammiteed)
II etapi teostus (mh Viimsi, Mustamäe ja Lasnamäe põhjaosa trammiteed)
III etapi teostus (mh Haabersti ja Kalaranna trammiteed)
IV etapi teostus (mh Järvevana ja Jüri trammiteed)
V etapi teostus (mh Maardu ja Järve trammiteed)</v>
      </c>
      <c r="E3" s="990"/>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1180</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2"/>
    </row>
    <row r="7" spans="1:27" s="1" customFormat="1" ht="12.75" customHeight="1" outlineLevel="1" x14ac:dyDescent="0.25">
      <c r="B7" s="755" t="s">
        <v>1181</v>
      </c>
      <c r="C7" s="801" t="s">
        <v>899</v>
      </c>
      <c r="D7" s="755" t="s">
        <v>851</v>
      </c>
      <c r="E7" s="755" t="s">
        <v>3</v>
      </c>
      <c r="F7" s="511"/>
      <c r="G7" s="511"/>
      <c r="H7" s="511"/>
      <c r="I7" s="511"/>
      <c r="J7" s="511"/>
      <c r="K7" s="511"/>
      <c r="L7" s="511"/>
    </row>
    <row r="8" spans="1:27" s="1" customFormat="1" ht="12.75" customHeight="1" outlineLevel="1" x14ac:dyDescent="0.25">
      <c r="B8" s="733"/>
      <c r="C8" s="733"/>
      <c r="D8" s="733"/>
      <c r="E8" s="733"/>
      <c r="F8" s="733"/>
      <c r="G8" s="733"/>
      <c r="H8" s="733"/>
      <c r="I8" s="733"/>
      <c r="J8" s="733"/>
      <c r="K8" s="733"/>
      <c r="L8" s="733"/>
    </row>
    <row r="9" spans="1:27" s="1" customFormat="1" ht="14.25" customHeight="1" outlineLevel="1" x14ac:dyDescent="0.25">
      <c r="C9" s="323"/>
      <c r="D9" s="323"/>
      <c r="F9" s="323"/>
      <c r="I9" s="323"/>
      <c r="J9" s="323"/>
      <c r="L9" s="323"/>
    </row>
    <row r="10" spans="1:27" s="1" customFormat="1" ht="27" outlineLevel="1" x14ac:dyDescent="0.25">
      <c r="C10" s="743" t="s">
        <v>1182</v>
      </c>
      <c r="D10" s="743" t="s">
        <v>1183</v>
      </c>
      <c r="E10" s="743" t="s">
        <v>1184</v>
      </c>
      <c r="F10" s="743" t="s">
        <v>1185</v>
      </c>
      <c r="G10" s="743" t="s">
        <v>1186</v>
      </c>
      <c r="H10" s="743" t="s">
        <v>1187</v>
      </c>
      <c r="I10" s="743" t="s">
        <v>1188</v>
      </c>
      <c r="J10" s="743" t="s">
        <v>1189</v>
      </c>
      <c r="K10" s="743" t="s">
        <v>1190</v>
      </c>
      <c r="L10" s="743" t="s">
        <v>1191</v>
      </c>
      <c r="N10" s="273"/>
      <c r="O10" s="274"/>
      <c r="P10" s="274"/>
      <c r="Q10" s="274"/>
      <c r="R10" s="274"/>
      <c r="S10" s="274"/>
      <c r="T10" s="273"/>
    </row>
    <row r="11" spans="1:27" s="1" customFormat="1" outlineLevel="1" x14ac:dyDescent="0.25">
      <c r="B11" s="802" t="s">
        <v>1192</v>
      </c>
      <c r="C11" s="924">
        <v>2040</v>
      </c>
      <c r="D11" s="924">
        <v>2043</v>
      </c>
      <c r="E11" s="925">
        <v>2.5</v>
      </c>
      <c r="F11" s="803">
        <f>E11*2/20*(60/J11)*(20*18)</f>
        <v>540</v>
      </c>
      <c r="G11" s="910">
        <f>20*1.1</f>
        <v>22</v>
      </c>
      <c r="H11" s="803">
        <f>G11/(D11-C11)</f>
        <v>7.333333333333333</v>
      </c>
      <c r="I11" s="910">
        <v>4</v>
      </c>
      <c r="J11" s="910">
        <v>10</v>
      </c>
      <c r="K11" s="803">
        <f t="shared" ref="K11:K17" si="0">F11/I11*(1+$C$22)</f>
        <v>141.75</v>
      </c>
      <c r="L11" s="903">
        <v>5000</v>
      </c>
      <c r="N11" s="273" t="s">
        <v>1193</v>
      </c>
      <c r="O11" s="274"/>
      <c r="P11" s="274"/>
      <c r="Q11" s="274"/>
      <c r="R11" s="274"/>
      <c r="S11" s="274"/>
      <c r="T11" s="273"/>
    </row>
    <row r="12" spans="1:27" s="1" customFormat="1" outlineLevel="1" x14ac:dyDescent="0.25">
      <c r="B12" s="802" t="s">
        <v>1194</v>
      </c>
      <c r="C12" s="924">
        <v>2027</v>
      </c>
      <c r="D12" s="924">
        <v>2029</v>
      </c>
      <c r="E12" s="925">
        <v>1.8</v>
      </c>
      <c r="F12" s="803">
        <f>E12*2/20*(60/J12)*(20*18)</f>
        <v>388.8</v>
      </c>
      <c r="G12" s="910">
        <v>28</v>
      </c>
      <c r="H12" s="803">
        <f>G12/(D12-C12)</f>
        <v>14</v>
      </c>
      <c r="I12" s="910">
        <v>3</v>
      </c>
      <c r="J12" s="910">
        <v>10</v>
      </c>
      <c r="K12" s="803">
        <f t="shared" si="0"/>
        <v>136.08000000000001</v>
      </c>
      <c r="L12" s="903">
        <v>4000</v>
      </c>
      <c r="N12" s="273"/>
      <c r="O12" s="274"/>
      <c r="P12" s="274"/>
      <c r="Q12" s="274"/>
      <c r="R12" s="274"/>
      <c r="S12" s="274"/>
      <c r="T12" s="273"/>
    </row>
    <row r="13" spans="1:27" s="1" customFormat="1" outlineLevel="1" x14ac:dyDescent="0.25">
      <c r="B13" s="802" t="s">
        <v>1195</v>
      </c>
      <c r="C13" s="924">
        <v>2032</v>
      </c>
      <c r="D13" s="924">
        <v>2035</v>
      </c>
      <c r="E13" s="925">
        <f>6.5+8.9+3.5</f>
        <v>18.899999999999999</v>
      </c>
      <c r="F13" s="803">
        <f>E13*2/20*(60/J13)*(20*18)</f>
        <v>4082.4</v>
      </c>
      <c r="G13" s="910">
        <f>110*1.1</f>
        <v>121.00000000000001</v>
      </c>
      <c r="H13" s="803">
        <f>G13/(D13-C13)</f>
        <v>40.333333333333336</v>
      </c>
      <c r="I13" s="910">
        <f>5+6+4</f>
        <v>15</v>
      </c>
      <c r="J13" s="910">
        <v>10</v>
      </c>
      <c r="K13" s="803">
        <f t="shared" si="0"/>
        <v>285.76800000000003</v>
      </c>
      <c r="L13" s="903">
        <v>30000</v>
      </c>
      <c r="N13" s="277" t="s">
        <v>876</v>
      </c>
      <c r="P13" s="274"/>
      <c r="Q13" s="274"/>
      <c r="R13" s="274"/>
      <c r="S13" s="274"/>
      <c r="T13" s="273"/>
    </row>
    <row r="14" spans="1:27" s="1" customFormat="1" outlineLevel="1" x14ac:dyDescent="0.25">
      <c r="B14" s="802" t="s">
        <v>1196</v>
      </c>
      <c r="C14" s="924">
        <v>2035</v>
      </c>
      <c r="D14" s="924">
        <v>2038</v>
      </c>
      <c r="E14" s="925">
        <f>7+6.5+7</f>
        <v>20.5</v>
      </c>
      <c r="F14" s="803">
        <f t="shared" ref="F14:F17" si="1">E14*2/20*(60/J14)*(20*18)</f>
        <v>4428</v>
      </c>
      <c r="G14" s="910">
        <f>110*1.1</f>
        <v>121.00000000000001</v>
      </c>
      <c r="H14" s="803">
        <f t="shared" ref="H14:H17" si="2">G14/(D14-C14)</f>
        <v>40.333333333333336</v>
      </c>
      <c r="I14" s="910">
        <f>7+6+4</f>
        <v>17</v>
      </c>
      <c r="J14" s="910">
        <v>10</v>
      </c>
      <c r="K14" s="803">
        <f t="shared" si="0"/>
        <v>273.49411764705889</v>
      </c>
      <c r="L14" s="903">
        <v>25000</v>
      </c>
      <c r="N14" s="893" t="s">
        <v>1670</v>
      </c>
      <c r="O14" s="305" t="s">
        <v>877</v>
      </c>
      <c r="P14" s="274"/>
      <c r="Q14" s="274"/>
      <c r="R14" s="274"/>
      <c r="S14" s="274"/>
      <c r="T14" s="273"/>
    </row>
    <row r="15" spans="1:27" s="1" customFormat="1" outlineLevel="1" x14ac:dyDescent="0.25">
      <c r="B15" s="802" t="s">
        <v>1197</v>
      </c>
      <c r="C15" s="924">
        <v>2039</v>
      </c>
      <c r="D15" s="924">
        <v>2041</v>
      </c>
      <c r="E15" s="925">
        <f>5.5+2.5</f>
        <v>8</v>
      </c>
      <c r="F15" s="803">
        <f t="shared" si="1"/>
        <v>1728.0000000000002</v>
      </c>
      <c r="G15" s="910">
        <f>50*1.1</f>
        <v>55.000000000000007</v>
      </c>
      <c r="H15" s="803">
        <f t="shared" si="2"/>
        <v>27.500000000000004</v>
      </c>
      <c r="I15" s="910">
        <f>5+3</f>
        <v>8</v>
      </c>
      <c r="J15" s="910">
        <v>10</v>
      </c>
      <c r="K15" s="803">
        <f t="shared" si="0"/>
        <v>226.80000000000004</v>
      </c>
      <c r="L15" s="903">
        <v>10000</v>
      </c>
      <c r="N15" s="892" t="s">
        <v>878</v>
      </c>
      <c r="O15" s="305" t="s">
        <v>1669</v>
      </c>
      <c r="P15" s="274"/>
      <c r="Q15" s="274"/>
      <c r="R15" s="274"/>
      <c r="S15" s="274"/>
      <c r="T15" s="273"/>
    </row>
    <row r="16" spans="1:27" s="1" customFormat="1" outlineLevel="1" x14ac:dyDescent="0.25">
      <c r="B16" s="802" t="s">
        <v>1198</v>
      </c>
      <c r="C16" s="924">
        <v>2042</v>
      </c>
      <c r="D16" s="924">
        <v>2045</v>
      </c>
      <c r="E16" s="925">
        <f>9+15</f>
        <v>24</v>
      </c>
      <c r="F16" s="803">
        <f t="shared" si="1"/>
        <v>5183.9999999999991</v>
      </c>
      <c r="G16" s="910">
        <f>(100+230)*1.1</f>
        <v>363.00000000000006</v>
      </c>
      <c r="H16" s="803">
        <f t="shared" si="2"/>
        <v>121.00000000000001</v>
      </c>
      <c r="I16" s="910">
        <f>E16*0.9</f>
        <v>21.6</v>
      </c>
      <c r="J16" s="910">
        <v>10</v>
      </c>
      <c r="K16" s="803">
        <f t="shared" si="0"/>
        <v>251.99999999999994</v>
      </c>
      <c r="L16" s="903">
        <v>7000</v>
      </c>
      <c r="N16" s="892" t="s">
        <v>1671</v>
      </c>
      <c r="O16" s="228">
        <v>1234</v>
      </c>
      <c r="P16" s="274"/>
      <c r="Q16" s="274"/>
      <c r="R16" s="274"/>
      <c r="S16" s="274"/>
      <c r="T16" s="273"/>
    </row>
    <row r="17" spans="1:34" s="1" customFormat="1" outlineLevel="1" x14ac:dyDescent="0.25">
      <c r="B17" s="802" t="s">
        <v>1199</v>
      </c>
      <c r="C17" s="924">
        <v>2046</v>
      </c>
      <c r="D17" s="924">
        <v>2049</v>
      </c>
      <c r="E17" s="925">
        <f>12+6</f>
        <v>18</v>
      </c>
      <c r="F17" s="803">
        <f t="shared" si="1"/>
        <v>3888.0000000000005</v>
      </c>
      <c r="G17" s="910">
        <f>190*1.1</f>
        <v>209.00000000000003</v>
      </c>
      <c r="H17" s="803">
        <f t="shared" si="2"/>
        <v>69.666666666666671</v>
      </c>
      <c r="I17" s="910">
        <f>E17*0.9</f>
        <v>16.2</v>
      </c>
      <c r="J17" s="910">
        <v>10</v>
      </c>
      <c r="K17" s="803">
        <f t="shared" si="0"/>
        <v>252.00000000000003</v>
      </c>
      <c r="L17" s="903">
        <v>5000</v>
      </c>
      <c r="N17" s="273"/>
      <c r="O17" s="274"/>
      <c r="P17" s="274"/>
      <c r="Q17" s="274"/>
      <c r="R17" s="274"/>
      <c r="S17" s="274"/>
      <c r="T17" s="273"/>
    </row>
    <row r="18" spans="1:34" s="1" customFormat="1" outlineLevel="1" x14ac:dyDescent="0.25">
      <c r="B18" s="284" t="s">
        <v>1200</v>
      </c>
      <c r="D18" s="2"/>
      <c r="K18" s="353">
        <f>AVERAGE(K11:K17)</f>
        <v>223.98458823529413</v>
      </c>
      <c r="L18" s="283" t="s">
        <v>1201</v>
      </c>
    </row>
    <row r="19" spans="1:34" s="1" customFormat="1" outlineLevel="1" x14ac:dyDescent="0.25">
      <c r="B19" s="802" t="s">
        <v>1202</v>
      </c>
      <c r="C19" s="925">
        <v>2.5</v>
      </c>
      <c r="D19" s="804" t="s">
        <v>1203</v>
      </c>
      <c r="E19" s="805"/>
      <c r="F19" s="324" t="s">
        <v>1204</v>
      </c>
      <c r="G19" s="7"/>
      <c r="H19" s="7"/>
      <c r="I19" s="7"/>
      <c r="N19" s="273"/>
      <c r="O19" s="274"/>
      <c r="P19" s="274"/>
      <c r="Q19" s="274"/>
      <c r="R19" s="274"/>
      <c r="S19" s="274"/>
      <c r="T19" s="273"/>
    </row>
    <row r="20" spans="1:34" s="1" customFormat="1" outlineLevel="1" x14ac:dyDescent="0.25">
      <c r="B20" s="802" t="s">
        <v>705</v>
      </c>
      <c r="C20" s="925">
        <v>2.5</v>
      </c>
      <c r="D20" s="804" t="s">
        <v>1205</v>
      </c>
      <c r="E20" s="806"/>
      <c r="F20" s="7"/>
      <c r="G20" s="7"/>
      <c r="H20" s="7"/>
      <c r="I20" s="7"/>
      <c r="J20" s="7"/>
      <c r="L20" s="7"/>
      <c r="N20" s="273"/>
      <c r="O20" s="274"/>
      <c r="P20" s="274"/>
      <c r="Q20" s="274"/>
      <c r="R20" s="274"/>
      <c r="S20" s="274"/>
      <c r="T20" s="273"/>
    </row>
    <row r="21" spans="1:34" s="1" customFormat="1" outlineLevel="1" x14ac:dyDescent="0.25">
      <c r="B21" s="802" t="s">
        <v>1206</v>
      </c>
      <c r="C21" s="910">
        <v>130</v>
      </c>
      <c r="D21" s="804" t="s">
        <v>887</v>
      </c>
      <c r="E21" s="806"/>
      <c r="F21" s="7" t="s">
        <v>1207</v>
      </c>
      <c r="G21" s="7"/>
      <c r="H21" s="7"/>
      <c r="I21" s="7"/>
      <c r="J21" s="7"/>
      <c r="K21" s="7"/>
      <c r="L21" s="7"/>
      <c r="N21" s="273"/>
      <c r="O21" s="274"/>
      <c r="P21" s="274"/>
      <c r="Q21" s="274"/>
      <c r="R21" s="274"/>
      <c r="S21" s="274"/>
      <c r="T21" s="273"/>
    </row>
    <row r="22" spans="1:34" s="1" customFormat="1" outlineLevel="1" x14ac:dyDescent="0.25">
      <c r="B22" s="802" t="s">
        <v>1208</v>
      </c>
      <c r="C22" s="926">
        <v>0.05</v>
      </c>
      <c r="D22" s="804" t="s">
        <v>639</v>
      </c>
      <c r="E22" s="806"/>
      <c r="G22" s="7"/>
      <c r="H22" s="7"/>
      <c r="I22" s="7"/>
      <c r="J22" s="7"/>
      <c r="K22" s="7"/>
      <c r="L22" s="7"/>
      <c r="N22" s="273"/>
      <c r="O22" s="274"/>
      <c r="P22" s="274"/>
      <c r="Q22" s="274"/>
      <c r="R22" s="274"/>
      <c r="S22" s="274"/>
      <c r="T22" s="273"/>
    </row>
    <row r="23" spans="1:34" s="1" customFormat="1" outlineLevel="1" x14ac:dyDescent="0.25">
      <c r="B23" s="802" t="s">
        <v>1209</v>
      </c>
      <c r="C23" s="925">
        <v>3</v>
      </c>
      <c r="D23" s="804" t="s">
        <v>1210</v>
      </c>
      <c r="E23" s="806"/>
      <c r="F23" s="7" t="s">
        <v>1211</v>
      </c>
      <c r="G23" s="7"/>
      <c r="H23" s="7"/>
      <c r="I23" s="7"/>
      <c r="J23" s="7"/>
      <c r="K23" s="7"/>
      <c r="L23" s="7"/>
      <c r="N23" s="273"/>
      <c r="O23" s="273"/>
      <c r="P23" s="273"/>
      <c r="Q23" s="273"/>
      <c r="R23" s="274"/>
      <c r="S23" s="274"/>
      <c r="T23" s="273"/>
    </row>
    <row r="24" spans="1:34" s="1" customFormat="1" outlineLevel="1" x14ac:dyDescent="0.25">
      <c r="B24" s="802" t="s">
        <v>1212</v>
      </c>
      <c r="C24" s="910">
        <v>2500</v>
      </c>
      <c r="D24" s="804" t="s">
        <v>1213</v>
      </c>
      <c r="E24" s="806"/>
      <c r="F24" s="7"/>
      <c r="G24" s="7"/>
      <c r="H24" s="7"/>
      <c r="I24" s="7"/>
      <c r="J24" s="7"/>
      <c r="K24" s="7"/>
      <c r="L24" s="7"/>
      <c r="N24" s="273"/>
      <c r="O24" s="273"/>
      <c r="P24" s="273"/>
      <c r="Q24" s="273"/>
      <c r="R24" s="274"/>
      <c r="S24" s="274"/>
      <c r="T24" s="273"/>
    </row>
    <row r="25" spans="1:34" s="1" customFormat="1" outlineLevel="1" x14ac:dyDescent="0.25">
      <c r="B25" s="802" t="s">
        <v>1214</v>
      </c>
      <c r="C25" s="925">
        <v>50</v>
      </c>
      <c r="D25" s="804" t="s">
        <v>1215</v>
      </c>
      <c r="E25" s="806"/>
      <c r="F25" s="7" t="s">
        <v>1216</v>
      </c>
      <c r="G25" s="7"/>
      <c r="H25" s="7"/>
      <c r="I25" s="7"/>
      <c r="J25" s="7"/>
      <c r="K25" s="7"/>
      <c r="L25" s="7"/>
      <c r="N25" s="273"/>
      <c r="O25" s="273"/>
      <c r="P25" s="273"/>
      <c r="Q25" s="273"/>
      <c r="R25" s="274"/>
      <c r="S25" s="274"/>
      <c r="T25" s="273"/>
    </row>
    <row r="26" spans="1:34" s="1" customFormat="1" outlineLevel="1" x14ac:dyDescent="0.25">
      <c r="B26" s="802" t="s">
        <v>1217</v>
      </c>
      <c r="C26" s="925">
        <v>1.5</v>
      </c>
      <c r="D26" s="804" t="s">
        <v>1218</v>
      </c>
      <c r="E26" s="807"/>
      <c r="F26" s="7"/>
      <c r="G26" s="7"/>
      <c r="H26" s="7"/>
      <c r="I26" s="7"/>
      <c r="J26" s="7"/>
      <c r="K26" s="7"/>
      <c r="L26" s="7"/>
      <c r="N26" s="273"/>
      <c r="O26" s="273"/>
      <c r="P26" s="273"/>
      <c r="Q26" s="273"/>
      <c r="R26" s="274"/>
      <c r="S26" s="274"/>
      <c r="T26" s="273"/>
    </row>
    <row r="27" spans="1:34" s="1" customFormat="1" outlineLevel="1" x14ac:dyDescent="0.25">
      <c r="B27" s="802" t="s">
        <v>1219</v>
      </c>
      <c r="C27" s="927">
        <v>0.2</v>
      </c>
      <c r="D27" s="804" t="s">
        <v>1220</v>
      </c>
      <c r="E27" s="807"/>
      <c r="F27" s="7" t="s">
        <v>1221</v>
      </c>
      <c r="G27" s="7"/>
      <c r="H27" s="7"/>
      <c r="I27" s="7"/>
      <c r="J27" s="7"/>
      <c r="K27" s="7"/>
      <c r="L27" s="7"/>
      <c r="N27" s="273"/>
      <c r="O27" s="273"/>
      <c r="P27" s="273"/>
      <c r="Q27" s="273"/>
      <c r="R27" s="274"/>
      <c r="S27" s="274"/>
      <c r="T27" s="273"/>
    </row>
    <row r="28" spans="1:34" s="1" customFormat="1" outlineLevel="1" x14ac:dyDescent="0.25">
      <c r="B28" s="802" t="s">
        <v>1222</v>
      </c>
      <c r="C28" s="928">
        <v>0.5</v>
      </c>
      <c r="D28" s="804" t="s">
        <v>1223</v>
      </c>
      <c r="E28" s="807"/>
      <c r="F28" s="7"/>
      <c r="G28" s="7"/>
      <c r="H28" s="7"/>
      <c r="I28" s="7"/>
      <c r="J28" s="7"/>
      <c r="K28" s="7"/>
      <c r="L28" s="7"/>
      <c r="N28" s="273"/>
      <c r="O28" s="273"/>
      <c r="P28" s="273"/>
      <c r="Q28" s="273"/>
      <c r="R28" s="274"/>
      <c r="S28" s="274"/>
      <c r="T28" s="273"/>
    </row>
    <row r="29" spans="1:34" s="1" customFormat="1" outlineLevel="1" x14ac:dyDescent="0.25">
      <c r="B29" s="808" t="s">
        <v>1224</v>
      </c>
      <c r="C29" s="804"/>
      <c r="D29" s="804"/>
      <c r="E29" s="805"/>
      <c r="F29" s="7"/>
      <c r="G29" s="7"/>
      <c r="H29" s="7"/>
      <c r="I29" s="7"/>
      <c r="J29" s="7"/>
      <c r="K29" s="7"/>
      <c r="L29" s="7"/>
      <c r="N29" s="273"/>
      <c r="O29" s="273"/>
      <c r="P29" s="273"/>
      <c r="Q29" s="273"/>
      <c r="R29" s="274"/>
      <c r="S29" s="274"/>
      <c r="T29" s="273"/>
    </row>
    <row r="30" spans="1:34" s="1" customFormat="1" outlineLevel="1" x14ac:dyDescent="0.25">
      <c r="B30" s="802" t="s">
        <v>1225</v>
      </c>
      <c r="C30" s="926">
        <v>0.25</v>
      </c>
      <c r="D30" s="804" t="s">
        <v>1226</v>
      </c>
      <c r="E30" s="806"/>
      <c r="F30" s="7"/>
      <c r="G30" s="7"/>
      <c r="H30" s="7"/>
      <c r="I30" s="7"/>
      <c r="J30" s="7"/>
      <c r="K30" s="7"/>
      <c r="L30" s="7"/>
      <c r="N30" s="273"/>
      <c r="O30" s="273"/>
      <c r="P30" s="273"/>
      <c r="Q30" s="273"/>
      <c r="R30" s="274"/>
      <c r="S30" s="274"/>
      <c r="T30" s="273"/>
    </row>
    <row r="31" spans="1:34" s="5" customFormat="1" outlineLevel="1" x14ac:dyDescent="0.25">
      <c r="A31" s="1"/>
      <c r="B31" s="802" t="s">
        <v>1227</v>
      </c>
      <c r="C31" s="925">
        <v>1.4</v>
      </c>
      <c r="D31" s="804" t="s">
        <v>1210</v>
      </c>
      <c r="E31" s="805"/>
      <c r="F31" s="283" t="s">
        <v>1228</v>
      </c>
      <c r="G31" s="7"/>
      <c r="H31" s="7"/>
      <c r="I31" s="7"/>
      <c r="J31" s="7"/>
      <c r="K31" s="7"/>
      <c r="L31" s="7"/>
      <c r="M31" s="1"/>
      <c r="N31" s="273"/>
      <c r="O31" s="273"/>
      <c r="P31" s="273"/>
      <c r="Q31" s="273"/>
      <c r="R31" s="1"/>
      <c r="S31" s="1"/>
      <c r="T31" s="1"/>
      <c r="U31" s="1"/>
      <c r="V31" s="1"/>
      <c r="W31" s="1"/>
      <c r="X31" s="1"/>
      <c r="Y31" s="1"/>
      <c r="Z31" s="1"/>
      <c r="AA31" s="1"/>
      <c r="AB31" s="1"/>
      <c r="AC31" s="1"/>
      <c r="AD31" s="1"/>
      <c r="AE31" s="1"/>
      <c r="AF31" s="1"/>
      <c r="AG31" s="1"/>
      <c r="AH31" s="1"/>
    </row>
    <row r="32" spans="1:34" s="5" customFormat="1" outlineLevel="1" x14ac:dyDescent="0.25">
      <c r="A32" s="1"/>
      <c r="B32" s="802" t="s">
        <v>1229</v>
      </c>
      <c r="C32" s="926">
        <v>0.5</v>
      </c>
      <c r="D32" s="804" t="s">
        <v>1230</v>
      </c>
      <c r="E32" s="805"/>
      <c r="F32" s="323"/>
      <c r="G32" s="7"/>
      <c r="H32" s="7"/>
      <c r="I32" s="7"/>
      <c r="J32" s="7"/>
      <c r="K32" s="7"/>
      <c r="L32" s="7"/>
      <c r="M32" s="1"/>
      <c r="N32" s="273"/>
      <c r="O32" s="273"/>
      <c r="P32" s="273"/>
      <c r="Q32" s="273"/>
      <c r="R32" s="1"/>
      <c r="S32" s="1"/>
      <c r="T32" s="1"/>
      <c r="U32" s="1"/>
      <c r="V32" s="1"/>
      <c r="W32" s="1"/>
      <c r="X32" s="1"/>
      <c r="Y32" s="1"/>
      <c r="Z32" s="1"/>
      <c r="AA32" s="1"/>
      <c r="AB32" s="1"/>
      <c r="AC32" s="1"/>
      <c r="AD32" s="1"/>
      <c r="AE32" s="1"/>
      <c r="AF32" s="1"/>
      <c r="AG32" s="1"/>
      <c r="AH32" s="1"/>
    </row>
    <row r="33" spans="1:34" s="5" customFormat="1" outlineLevel="1" x14ac:dyDescent="0.25">
      <c r="A33" s="1"/>
      <c r="B33" s="802" t="s">
        <v>1231</v>
      </c>
      <c r="C33" s="809">
        <f>SUMPRODUCT(E11:E17,L11:L17)/SUM(L11:L17)*C32</f>
        <v>8.3558139534883722</v>
      </c>
      <c r="D33" s="804" t="s">
        <v>1232</v>
      </c>
      <c r="E33" s="805"/>
      <c r="F33" s="7"/>
      <c r="G33" s="7"/>
      <c r="H33" s="7"/>
      <c r="I33" s="7"/>
      <c r="J33" s="7"/>
      <c r="K33" s="7"/>
      <c r="L33" s="7"/>
      <c r="M33" s="1"/>
      <c r="N33" s="273"/>
      <c r="O33" s="273"/>
      <c r="P33" s="273"/>
      <c r="Q33" s="273"/>
      <c r="R33" s="1"/>
      <c r="S33" s="1"/>
      <c r="T33" s="1"/>
      <c r="U33" s="1"/>
      <c r="V33" s="1"/>
      <c r="W33" s="1"/>
      <c r="X33" s="1"/>
      <c r="Y33" s="1"/>
      <c r="Z33" s="1"/>
      <c r="AA33" s="1"/>
      <c r="AB33" s="1"/>
      <c r="AC33" s="1"/>
      <c r="AD33" s="1"/>
      <c r="AE33" s="1"/>
      <c r="AF33" s="1"/>
      <c r="AG33" s="1"/>
      <c r="AH33" s="1"/>
    </row>
    <row r="34" spans="1:34" s="1" customFormat="1" x14ac:dyDescent="0.25">
      <c r="D34" s="2"/>
      <c r="N34" s="273"/>
      <c r="O34" s="273"/>
      <c r="P34" s="273"/>
      <c r="Q34" s="273"/>
    </row>
    <row r="35" spans="1:34" x14ac:dyDescent="0.25">
      <c r="A35" s="1"/>
      <c r="B35" s="659" t="s">
        <v>895</v>
      </c>
      <c r="C35" s="659"/>
      <c r="D35" s="659"/>
      <c r="E35" s="659"/>
      <c r="F35" s="659"/>
      <c r="G35" s="659"/>
      <c r="H35" s="659"/>
      <c r="I35" s="659"/>
      <c r="J35" s="659"/>
      <c r="K35" s="659"/>
      <c r="L35" s="659"/>
      <c r="M35" s="1"/>
      <c r="N35" s="273"/>
      <c r="O35" s="273"/>
      <c r="P35" s="273"/>
      <c r="Q35" s="273"/>
      <c r="R35" s="1"/>
      <c r="S35" s="1"/>
      <c r="T35" s="1"/>
      <c r="U35" s="1"/>
      <c r="V35" s="1"/>
      <c r="W35" s="1"/>
      <c r="X35" s="1"/>
      <c r="Y35" s="1"/>
      <c r="Z35" s="1"/>
      <c r="AA35" s="1"/>
      <c r="AB35" s="1"/>
      <c r="AC35" s="1"/>
      <c r="AD35" s="1"/>
      <c r="AE35" s="1"/>
      <c r="AF35" s="1"/>
      <c r="AG35" s="1"/>
      <c r="AH35" s="1"/>
    </row>
    <row r="36" spans="1:34" s="1" customFormat="1" ht="7.5" customHeight="1" outlineLevel="1" x14ac:dyDescent="0.25">
      <c r="A36" s="2"/>
      <c r="B36" s="4"/>
      <c r="C36" s="10"/>
      <c r="D36" s="12"/>
      <c r="E36" s="12"/>
      <c r="F36" s="12"/>
      <c r="G36" s="12"/>
      <c r="H36" s="12"/>
      <c r="J36" s="295"/>
      <c r="N36" s="273"/>
      <c r="O36" s="273"/>
      <c r="P36" s="273"/>
      <c r="Q36" s="273"/>
    </row>
    <row r="37" spans="1:34" s="1" customFormat="1" ht="15.75" customHeight="1" outlineLevel="1" x14ac:dyDescent="0.25">
      <c r="B37" s="13" t="s">
        <v>896</v>
      </c>
      <c r="D37" s="43"/>
      <c r="E37" s="284" t="s">
        <v>897</v>
      </c>
      <c r="N37" s="273"/>
      <c r="O37" s="273"/>
      <c r="P37" s="273"/>
      <c r="Q37" s="273"/>
    </row>
    <row r="38" spans="1:34" s="1" customFormat="1" ht="15.75" customHeight="1" outlineLevel="1" x14ac:dyDescent="0.25">
      <c r="B38" s="660" t="s">
        <v>898</v>
      </c>
      <c r="C38" s="665" t="s">
        <v>899</v>
      </c>
      <c r="D38" s="43"/>
      <c r="E38" s="661"/>
      <c r="F38" s="701" t="s">
        <v>900</v>
      </c>
    </row>
    <row r="39" spans="1:34" s="1" customFormat="1" ht="15.75" customHeight="1" outlineLevel="1" x14ac:dyDescent="0.25">
      <c r="B39" s="663" t="s">
        <v>398</v>
      </c>
      <c r="C39" s="666">
        <f>SUM(E69:AB69)/25/1000</f>
        <v>58.046666666666681</v>
      </c>
      <c r="D39" s="43"/>
      <c r="E39" s="663">
        <v>2030</v>
      </c>
      <c r="F39" s="670">
        <f>I84</f>
        <v>222.25391976067604</v>
      </c>
      <c r="P39" s="327"/>
    </row>
    <row r="40" spans="1:34" s="1" customFormat="1" ht="15.75" customHeight="1" outlineLevel="1" x14ac:dyDescent="0.25">
      <c r="B40" s="155" t="s">
        <v>399</v>
      </c>
      <c r="C40" s="667">
        <f>C39</f>
        <v>58.046666666666681</v>
      </c>
      <c r="E40" s="155">
        <v>2035</v>
      </c>
      <c r="F40" s="428">
        <f>N84</f>
        <v>129.21763794436976</v>
      </c>
    </row>
    <row r="41" spans="1:34" s="1" customFormat="1" ht="15.75" customHeight="1" outlineLevel="1" x14ac:dyDescent="0.25">
      <c r="B41" s="663" t="s">
        <v>400</v>
      </c>
      <c r="C41" s="666">
        <f>SUM(E75:AC75)/25/1000</f>
        <v>49.983871784014376</v>
      </c>
      <c r="E41" s="663">
        <v>2040</v>
      </c>
      <c r="F41" s="670">
        <f>S84</f>
        <v>14537.459355932653</v>
      </c>
    </row>
    <row r="42" spans="1:34" s="1" customFormat="1" outlineLevel="1" x14ac:dyDescent="0.25">
      <c r="B42" s="155" t="s">
        <v>401</v>
      </c>
      <c r="C42" s="667">
        <f>SUM(E76:AC76)/25/1000</f>
        <v>63.690041107803253</v>
      </c>
      <c r="E42" s="155">
        <v>2045</v>
      </c>
      <c r="F42" s="428">
        <f>X84</f>
        <v>11039.504294770852</v>
      </c>
    </row>
    <row r="43" spans="1:34" s="1" customFormat="1" outlineLevel="1" x14ac:dyDescent="0.25">
      <c r="B43" s="663" t="s">
        <v>901</v>
      </c>
      <c r="C43" s="670">
        <f>MAX(F84:AU84)</f>
        <v>15480.302663765948</v>
      </c>
      <c r="E43" s="663">
        <v>2050</v>
      </c>
      <c r="F43" s="670">
        <f>AC84</f>
        <v>8396.0486870141704</v>
      </c>
    </row>
    <row r="44" spans="1:34" s="1" customFormat="1" outlineLevel="1" x14ac:dyDescent="0.25">
      <c r="B44" s="155" t="s">
        <v>902</v>
      </c>
      <c r="C44" s="428">
        <f>SUM(F83:AC83)/1000</f>
        <v>649.015613093149</v>
      </c>
    </row>
    <row r="45" spans="1:34" s="1" customFormat="1" outlineLevel="1" x14ac:dyDescent="0.25">
      <c r="B45" s="663" t="s">
        <v>403</v>
      </c>
      <c r="C45" s="670">
        <f>SUM(E75:AY75)*1000/SUM(E84:AY84)</f>
        <v>4678.5605222257418</v>
      </c>
      <c r="E45" s="7"/>
    </row>
    <row r="46" spans="1:34" s="1" customFormat="1" ht="9.75" customHeight="1" outlineLevel="1" x14ac:dyDescent="0.25">
      <c r="B46" s="13"/>
      <c r="C46" s="236"/>
    </row>
    <row r="47" spans="1:34" s="1" customFormat="1" ht="15.75" customHeight="1" outlineLevel="1" x14ac:dyDescent="0.25">
      <c r="B47" s="284" t="s">
        <v>903</v>
      </c>
      <c r="D47" s="43"/>
      <c r="E47" s="7"/>
      <c r="I47" s="277" t="s">
        <v>876</v>
      </c>
    </row>
    <row r="48" spans="1:34" s="1" customFormat="1" outlineLevel="1" x14ac:dyDescent="0.25">
      <c r="A48" s="2"/>
      <c r="B48" s="155" t="s">
        <v>904</v>
      </c>
      <c r="C48" s="307" t="s">
        <v>905</v>
      </c>
      <c r="D48" s="7"/>
      <c r="E48" s="12"/>
      <c r="F48" s="12"/>
      <c r="G48" s="12"/>
      <c r="H48" s="12"/>
      <c r="I48" s="311" t="s">
        <v>474</v>
      </c>
      <c r="J48" s="295" t="s">
        <v>906</v>
      </c>
    </row>
    <row r="49" spans="1:51" s="1" customFormat="1" ht="16.5" customHeight="1" outlineLevel="1" x14ac:dyDescent="0.25">
      <c r="A49" s="2">
        <v>1</v>
      </c>
      <c r="B49" s="155" t="s">
        <v>907</v>
      </c>
      <c r="C49" s="307" t="s">
        <v>910</v>
      </c>
      <c r="D49" s="397">
        <f>IF(C49="Kõrge",3,IF(C49="Mõõdukas",2,1))</f>
        <v>1</v>
      </c>
      <c r="E49" s="283" t="s">
        <v>1233</v>
      </c>
      <c r="F49" s="12"/>
      <c r="G49" s="12"/>
      <c r="H49" s="12"/>
      <c r="I49" s="312" t="s">
        <v>905</v>
      </c>
      <c r="J49" s="295" t="s">
        <v>908</v>
      </c>
    </row>
    <row r="50" spans="1:51" s="1" customFormat="1" ht="16.5" customHeight="1" outlineLevel="1" x14ac:dyDescent="0.25">
      <c r="A50" s="2"/>
      <c r="B50" s="155" t="s">
        <v>909</v>
      </c>
      <c r="C50" s="307" t="s">
        <v>905</v>
      </c>
      <c r="D50" s="397">
        <f>IF(C50="Kõrge",3,IF(C50="Mõõdukas",2,1))</f>
        <v>2</v>
      </c>
      <c r="E50" s="12"/>
      <c r="F50" s="12"/>
      <c r="I50" s="313" t="s">
        <v>910</v>
      </c>
      <c r="J50" s="295" t="s">
        <v>911</v>
      </c>
    </row>
    <row r="51" spans="1:51" s="1" customFormat="1" x14ac:dyDescent="0.25">
      <c r="B51" s="8"/>
      <c r="C51" s="399" t="s">
        <v>912</v>
      </c>
      <c r="D51" s="398">
        <f>D50+D49</f>
        <v>3</v>
      </c>
    </row>
    <row r="52" spans="1:51" x14ac:dyDescent="0.25">
      <c r="A52" s="1"/>
      <c r="B52" s="659" t="s">
        <v>913</v>
      </c>
      <c r="C52" s="659"/>
      <c r="D52" s="659"/>
      <c r="E52" s="659"/>
      <c r="F52" s="659"/>
      <c r="G52" s="659"/>
      <c r="H52" s="659"/>
      <c r="I52" s="659"/>
      <c r="J52" s="659"/>
      <c r="K52" s="659"/>
      <c r="L52" s="659"/>
      <c r="M52" s="659"/>
      <c r="N52" s="659"/>
      <c r="O52" s="659"/>
      <c r="P52" s="659"/>
      <c r="Q52" s="659"/>
      <c r="R52" s="659"/>
      <c r="S52" s="659"/>
      <c r="T52" s="659"/>
      <c r="U52" s="659"/>
      <c r="V52" s="659"/>
      <c r="W52" s="659"/>
      <c r="X52" s="659"/>
      <c r="Y52" s="659"/>
      <c r="Z52" s="659"/>
      <c r="AA52" s="659"/>
      <c r="AB52" s="659"/>
      <c r="AC52" s="659"/>
      <c r="AD52" s="659"/>
      <c r="AE52" s="659"/>
      <c r="AF52" s="659"/>
      <c r="AG52" s="659"/>
      <c r="AH52" s="659"/>
      <c r="AI52" s="659"/>
      <c r="AJ52" s="659"/>
      <c r="AK52" s="659"/>
      <c r="AL52" s="659"/>
      <c r="AM52" s="659"/>
      <c r="AN52" s="659"/>
      <c r="AO52" s="659"/>
      <c r="AP52" s="659"/>
      <c r="AQ52" s="659"/>
      <c r="AR52" s="659"/>
      <c r="AS52" s="659"/>
      <c r="AT52" s="659"/>
      <c r="AU52" s="659"/>
      <c r="AV52" s="659"/>
      <c r="AW52" s="659"/>
      <c r="AX52" s="659"/>
      <c r="AY52" s="659"/>
    </row>
    <row r="53" spans="1:51" s="15" customFormat="1" ht="7.5" customHeight="1" outlineLevel="1" x14ac:dyDescent="0.25"/>
    <row r="54" spans="1:51" s="15" customFormat="1" ht="13.5" outlineLevel="1" x14ac:dyDescent="0.25">
      <c r="B54" s="715" t="s">
        <v>914</v>
      </c>
      <c r="C54" s="719"/>
      <c r="D54" s="812">
        <v>2025</v>
      </c>
      <c r="E54" s="812">
        <v>2026</v>
      </c>
      <c r="F54" s="812">
        <v>2027</v>
      </c>
      <c r="G54" s="812">
        <v>2028</v>
      </c>
      <c r="H54" s="432">
        <v>2029</v>
      </c>
      <c r="I54" s="812">
        <v>2030</v>
      </c>
      <c r="J54" s="432">
        <v>2031</v>
      </c>
      <c r="K54" s="812">
        <v>2032</v>
      </c>
      <c r="L54" s="432">
        <v>2033</v>
      </c>
      <c r="M54" s="812">
        <v>2034</v>
      </c>
      <c r="N54" s="432">
        <v>2035</v>
      </c>
      <c r="O54" s="432">
        <v>2036</v>
      </c>
      <c r="P54" s="812">
        <v>2037</v>
      </c>
      <c r="Q54" s="432">
        <v>2038</v>
      </c>
      <c r="R54" s="812">
        <v>2039</v>
      </c>
      <c r="S54" s="432">
        <v>2040</v>
      </c>
      <c r="T54" s="812">
        <v>2041</v>
      </c>
      <c r="U54" s="432">
        <v>2042</v>
      </c>
      <c r="V54" s="812">
        <v>2043</v>
      </c>
      <c r="W54" s="432">
        <v>2044</v>
      </c>
      <c r="X54" s="812">
        <v>2045</v>
      </c>
      <c r="Y54" s="432">
        <v>2046</v>
      </c>
      <c r="Z54" s="432">
        <v>2047</v>
      </c>
      <c r="AA54" s="812">
        <v>2048</v>
      </c>
      <c r="AB54" s="432">
        <v>2049</v>
      </c>
      <c r="AC54" s="812">
        <v>2050</v>
      </c>
      <c r="AD54" s="432">
        <v>2051</v>
      </c>
      <c r="AE54" s="812">
        <v>2052</v>
      </c>
      <c r="AF54" s="432">
        <v>2053</v>
      </c>
      <c r="AG54" s="812">
        <v>2054</v>
      </c>
      <c r="AH54" s="432">
        <v>2055</v>
      </c>
      <c r="AI54" s="812">
        <v>2056</v>
      </c>
      <c r="AJ54" s="432">
        <v>2057</v>
      </c>
      <c r="AK54" s="432">
        <v>2058</v>
      </c>
      <c r="AL54" s="812">
        <v>2059</v>
      </c>
      <c r="AM54" s="432">
        <v>2060</v>
      </c>
      <c r="AN54" s="812">
        <v>2061</v>
      </c>
      <c r="AO54" s="432">
        <v>2062</v>
      </c>
      <c r="AP54" s="812">
        <v>2063</v>
      </c>
      <c r="AQ54" s="432">
        <v>2064</v>
      </c>
      <c r="AR54" s="812">
        <v>2065</v>
      </c>
      <c r="AS54" s="432">
        <v>2066</v>
      </c>
      <c r="AT54" s="812">
        <v>2067</v>
      </c>
      <c r="AU54" s="432">
        <v>2068</v>
      </c>
      <c r="AV54" s="432">
        <v>2069</v>
      </c>
      <c r="AW54" s="812">
        <v>2070</v>
      </c>
      <c r="AX54" s="432">
        <v>2071</v>
      </c>
      <c r="AY54" s="813">
        <v>2072</v>
      </c>
    </row>
    <row r="55" spans="1:51" s="1" customFormat="1" outlineLevel="1" x14ac:dyDescent="0.25">
      <c r="B55" s="689" t="s">
        <v>1234</v>
      </c>
      <c r="C55" s="688"/>
      <c r="D55" s="814"/>
      <c r="E55" s="814"/>
      <c r="F55" s="814"/>
      <c r="G55" s="814"/>
      <c r="H55" s="815"/>
      <c r="I55" s="726"/>
      <c r="J55" s="726"/>
      <c r="K55" s="726"/>
      <c r="L55" s="726"/>
      <c r="M55" s="726"/>
      <c r="N55" s="726"/>
      <c r="O55" s="726"/>
      <c r="P55" s="726"/>
      <c r="Q55" s="726"/>
      <c r="R55" s="726"/>
      <c r="S55" s="726"/>
      <c r="T55" s="726"/>
      <c r="U55" s="726"/>
      <c r="V55" s="726"/>
      <c r="W55" s="726"/>
      <c r="X55" s="726"/>
      <c r="Y55" s="726"/>
      <c r="Z55" s="726"/>
      <c r="AA55" s="726"/>
      <c r="AB55" s="726"/>
      <c r="AC55" s="726"/>
      <c r="AD55" s="726"/>
      <c r="AE55" s="726"/>
      <c r="AF55" s="726"/>
      <c r="AG55" s="726"/>
      <c r="AH55" s="726"/>
      <c r="AI55" s="726"/>
      <c r="AJ55" s="726"/>
      <c r="AK55" s="726"/>
      <c r="AL55" s="726"/>
      <c r="AM55" s="726"/>
      <c r="AN55" s="726"/>
      <c r="AO55" s="726"/>
      <c r="AP55" s="726"/>
      <c r="AQ55" s="726"/>
      <c r="AR55" s="726"/>
      <c r="AS55" s="726"/>
      <c r="AT55" s="726"/>
      <c r="AU55" s="726"/>
      <c r="AV55" s="726"/>
      <c r="AW55" s="726"/>
      <c r="AX55" s="726"/>
      <c r="AY55" s="424"/>
    </row>
    <row r="56" spans="1:51" s="15" customFormat="1" ht="13.5" outlineLevel="1" x14ac:dyDescent="0.25">
      <c r="B56" s="817" t="s">
        <v>1235</v>
      </c>
      <c r="C56" s="818" t="s">
        <v>1236</v>
      </c>
      <c r="D56" s="675">
        <v>0</v>
      </c>
      <c r="E56" s="675">
        <v>0</v>
      </c>
      <c r="F56" s="675">
        <f t="shared" ref="F56:AY56" si="3">IF(OR(F$54&lt;$C11,F$54&gt;$D11),0,1)</f>
        <v>0</v>
      </c>
      <c r="G56" s="675">
        <f t="shared" si="3"/>
        <v>0</v>
      </c>
      <c r="H56" s="675">
        <f t="shared" si="3"/>
        <v>0</v>
      </c>
      <c r="I56" s="675">
        <f t="shared" si="3"/>
        <v>0</v>
      </c>
      <c r="J56" s="675">
        <f t="shared" si="3"/>
        <v>0</v>
      </c>
      <c r="K56" s="675">
        <f t="shared" si="3"/>
        <v>0</v>
      </c>
      <c r="L56" s="675">
        <f t="shared" si="3"/>
        <v>0</v>
      </c>
      <c r="M56" s="675">
        <f t="shared" si="3"/>
        <v>0</v>
      </c>
      <c r="N56" s="675">
        <f t="shared" si="3"/>
        <v>0</v>
      </c>
      <c r="O56" s="675">
        <f t="shared" si="3"/>
        <v>0</v>
      </c>
      <c r="P56" s="675">
        <f t="shared" si="3"/>
        <v>0</v>
      </c>
      <c r="Q56" s="675">
        <f t="shared" si="3"/>
        <v>0</v>
      </c>
      <c r="R56" s="675">
        <f t="shared" si="3"/>
        <v>0</v>
      </c>
      <c r="S56" s="675">
        <f t="shared" si="3"/>
        <v>1</v>
      </c>
      <c r="T56" s="675">
        <f t="shared" si="3"/>
        <v>1</v>
      </c>
      <c r="U56" s="675">
        <f t="shared" si="3"/>
        <v>1</v>
      </c>
      <c r="V56" s="675">
        <f t="shared" si="3"/>
        <v>1</v>
      </c>
      <c r="W56" s="675">
        <f t="shared" si="3"/>
        <v>0</v>
      </c>
      <c r="X56" s="675">
        <f t="shared" si="3"/>
        <v>0</v>
      </c>
      <c r="Y56" s="675">
        <f t="shared" si="3"/>
        <v>0</v>
      </c>
      <c r="Z56" s="675">
        <f t="shared" si="3"/>
        <v>0</v>
      </c>
      <c r="AA56" s="675">
        <f t="shared" si="3"/>
        <v>0</v>
      </c>
      <c r="AB56" s="675">
        <f t="shared" si="3"/>
        <v>0</v>
      </c>
      <c r="AC56" s="675">
        <f t="shared" si="3"/>
        <v>0</v>
      </c>
      <c r="AD56" s="675">
        <f t="shared" si="3"/>
        <v>0</v>
      </c>
      <c r="AE56" s="675">
        <f t="shared" si="3"/>
        <v>0</v>
      </c>
      <c r="AF56" s="675">
        <f t="shared" si="3"/>
        <v>0</v>
      </c>
      <c r="AG56" s="675">
        <f t="shared" si="3"/>
        <v>0</v>
      </c>
      <c r="AH56" s="675">
        <f t="shared" si="3"/>
        <v>0</v>
      </c>
      <c r="AI56" s="675">
        <f t="shared" si="3"/>
        <v>0</v>
      </c>
      <c r="AJ56" s="675">
        <f t="shared" si="3"/>
        <v>0</v>
      </c>
      <c r="AK56" s="675">
        <f t="shared" si="3"/>
        <v>0</v>
      </c>
      <c r="AL56" s="675">
        <f t="shared" si="3"/>
        <v>0</v>
      </c>
      <c r="AM56" s="675">
        <f t="shared" si="3"/>
        <v>0</v>
      </c>
      <c r="AN56" s="675">
        <f t="shared" si="3"/>
        <v>0</v>
      </c>
      <c r="AO56" s="675">
        <f t="shared" si="3"/>
        <v>0</v>
      </c>
      <c r="AP56" s="675">
        <f t="shared" si="3"/>
        <v>0</v>
      </c>
      <c r="AQ56" s="675">
        <f t="shared" si="3"/>
        <v>0</v>
      </c>
      <c r="AR56" s="675">
        <f t="shared" si="3"/>
        <v>0</v>
      </c>
      <c r="AS56" s="675">
        <f t="shared" si="3"/>
        <v>0</v>
      </c>
      <c r="AT56" s="675">
        <f t="shared" si="3"/>
        <v>0</v>
      </c>
      <c r="AU56" s="675">
        <f t="shared" si="3"/>
        <v>0</v>
      </c>
      <c r="AV56" s="675">
        <f t="shared" si="3"/>
        <v>0</v>
      </c>
      <c r="AW56" s="675">
        <f t="shared" si="3"/>
        <v>0</v>
      </c>
      <c r="AX56" s="675">
        <f t="shared" si="3"/>
        <v>0</v>
      </c>
      <c r="AY56" s="676">
        <f t="shared" si="3"/>
        <v>0</v>
      </c>
    </row>
    <row r="57" spans="1:51" s="15" customFormat="1" ht="13.5" outlineLevel="1" x14ac:dyDescent="0.25">
      <c r="B57" s="816" t="s">
        <v>1194</v>
      </c>
      <c r="C57" s="815" t="s">
        <v>1236</v>
      </c>
      <c r="D57" s="686">
        <v>0</v>
      </c>
      <c r="E57" s="686">
        <v>0</v>
      </c>
      <c r="F57" s="686">
        <f t="shared" ref="F57:AY57" si="4">IF(OR(F$54&lt;$C12,F$54&gt;$D12),0,1)</f>
        <v>1</v>
      </c>
      <c r="G57" s="686">
        <f t="shared" si="4"/>
        <v>1</v>
      </c>
      <c r="H57" s="686">
        <f t="shared" si="4"/>
        <v>1</v>
      </c>
      <c r="I57" s="686">
        <f t="shared" si="4"/>
        <v>0</v>
      </c>
      <c r="J57" s="686">
        <f t="shared" si="4"/>
        <v>0</v>
      </c>
      <c r="K57" s="686">
        <f t="shared" si="4"/>
        <v>0</v>
      </c>
      <c r="L57" s="686">
        <f t="shared" si="4"/>
        <v>0</v>
      </c>
      <c r="M57" s="686">
        <f t="shared" si="4"/>
        <v>0</v>
      </c>
      <c r="N57" s="686">
        <f t="shared" si="4"/>
        <v>0</v>
      </c>
      <c r="O57" s="686">
        <f t="shared" si="4"/>
        <v>0</v>
      </c>
      <c r="P57" s="686">
        <f t="shared" si="4"/>
        <v>0</v>
      </c>
      <c r="Q57" s="686">
        <f t="shared" si="4"/>
        <v>0</v>
      </c>
      <c r="R57" s="686">
        <f t="shared" si="4"/>
        <v>0</v>
      </c>
      <c r="S57" s="686">
        <f t="shared" si="4"/>
        <v>0</v>
      </c>
      <c r="T57" s="686">
        <f t="shared" si="4"/>
        <v>0</v>
      </c>
      <c r="U57" s="686">
        <f t="shared" si="4"/>
        <v>0</v>
      </c>
      <c r="V57" s="686">
        <f t="shared" si="4"/>
        <v>0</v>
      </c>
      <c r="W57" s="686">
        <f t="shared" si="4"/>
        <v>0</v>
      </c>
      <c r="X57" s="686">
        <f t="shared" si="4"/>
        <v>0</v>
      </c>
      <c r="Y57" s="686">
        <f t="shared" si="4"/>
        <v>0</v>
      </c>
      <c r="Z57" s="686">
        <f t="shared" si="4"/>
        <v>0</v>
      </c>
      <c r="AA57" s="686">
        <f t="shared" si="4"/>
        <v>0</v>
      </c>
      <c r="AB57" s="686">
        <f t="shared" si="4"/>
        <v>0</v>
      </c>
      <c r="AC57" s="686">
        <f t="shared" si="4"/>
        <v>0</v>
      </c>
      <c r="AD57" s="686">
        <f t="shared" si="4"/>
        <v>0</v>
      </c>
      <c r="AE57" s="686">
        <f t="shared" si="4"/>
        <v>0</v>
      </c>
      <c r="AF57" s="686">
        <f t="shared" si="4"/>
        <v>0</v>
      </c>
      <c r="AG57" s="686">
        <f t="shared" si="4"/>
        <v>0</v>
      </c>
      <c r="AH57" s="686">
        <f t="shared" si="4"/>
        <v>0</v>
      </c>
      <c r="AI57" s="686">
        <f t="shared" si="4"/>
        <v>0</v>
      </c>
      <c r="AJ57" s="686">
        <f t="shared" si="4"/>
        <v>0</v>
      </c>
      <c r="AK57" s="686">
        <f t="shared" si="4"/>
        <v>0</v>
      </c>
      <c r="AL57" s="686">
        <f t="shared" si="4"/>
        <v>0</v>
      </c>
      <c r="AM57" s="686">
        <f t="shared" si="4"/>
        <v>0</v>
      </c>
      <c r="AN57" s="686">
        <f t="shared" si="4"/>
        <v>0</v>
      </c>
      <c r="AO57" s="686">
        <f t="shared" si="4"/>
        <v>0</v>
      </c>
      <c r="AP57" s="686">
        <f t="shared" si="4"/>
        <v>0</v>
      </c>
      <c r="AQ57" s="686">
        <f t="shared" si="4"/>
        <v>0</v>
      </c>
      <c r="AR57" s="686">
        <f t="shared" si="4"/>
        <v>0</v>
      </c>
      <c r="AS57" s="686">
        <f t="shared" si="4"/>
        <v>0</v>
      </c>
      <c r="AT57" s="686">
        <f t="shared" si="4"/>
        <v>0</v>
      </c>
      <c r="AU57" s="686">
        <f t="shared" si="4"/>
        <v>0</v>
      </c>
      <c r="AV57" s="686">
        <f t="shared" si="4"/>
        <v>0</v>
      </c>
      <c r="AW57" s="686">
        <f t="shared" si="4"/>
        <v>0</v>
      </c>
      <c r="AX57" s="686">
        <f t="shared" si="4"/>
        <v>0</v>
      </c>
      <c r="AY57" s="687">
        <f t="shared" si="4"/>
        <v>0</v>
      </c>
    </row>
    <row r="58" spans="1:51" s="15" customFormat="1" ht="13.5" outlineLevel="1" x14ac:dyDescent="0.25">
      <c r="B58" s="817" t="s">
        <v>1195</v>
      </c>
      <c r="C58" s="818" t="s">
        <v>1236</v>
      </c>
      <c r="D58" s="675">
        <v>0</v>
      </c>
      <c r="E58" s="675">
        <v>0</v>
      </c>
      <c r="F58" s="675">
        <v>0</v>
      </c>
      <c r="G58" s="675">
        <f t="shared" ref="G58:AY58" si="5">IF(OR(G$54&lt;$C13,G$54&gt;$D13),0,1)</f>
        <v>0</v>
      </c>
      <c r="H58" s="675">
        <f t="shared" si="5"/>
        <v>0</v>
      </c>
      <c r="I58" s="675">
        <f t="shared" si="5"/>
        <v>0</v>
      </c>
      <c r="J58" s="675">
        <f t="shared" si="5"/>
        <v>0</v>
      </c>
      <c r="K58" s="675">
        <f t="shared" si="5"/>
        <v>1</v>
      </c>
      <c r="L58" s="675">
        <f t="shared" si="5"/>
        <v>1</v>
      </c>
      <c r="M58" s="675">
        <f t="shared" si="5"/>
        <v>1</v>
      </c>
      <c r="N58" s="675">
        <f t="shared" si="5"/>
        <v>1</v>
      </c>
      <c r="O58" s="675">
        <f t="shared" si="5"/>
        <v>0</v>
      </c>
      <c r="P58" s="675">
        <f t="shared" si="5"/>
        <v>0</v>
      </c>
      <c r="Q58" s="675">
        <f t="shared" si="5"/>
        <v>0</v>
      </c>
      <c r="R58" s="675">
        <f t="shared" si="5"/>
        <v>0</v>
      </c>
      <c r="S58" s="675">
        <f t="shared" si="5"/>
        <v>0</v>
      </c>
      <c r="T58" s="675">
        <f t="shared" si="5"/>
        <v>0</v>
      </c>
      <c r="U58" s="675">
        <f t="shared" si="5"/>
        <v>0</v>
      </c>
      <c r="V58" s="675">
        <f t="shared" si="5"/>
        <v>0</v>
      </c>
      <c r="W58" s="675">
        <f t="shared" si="5"/>
        <v>0</v>
      </c>
      <c r="X58" s="675">
        <f t="shared" si="5"/>
        <v>0</v>
      </c>
      <c r="Y58" s="675">
        <f t="shared" si="5"/>
        <v>0</v>
      </c>
      <c r="Z58" s="675">
        <f t="shared" si="5"/>
        <v>0</v>
      </c>
      <c r="AA58" s="675">
        <f t="shared" si="5"/>
        <v>0</v>
      </c>
      <c r="AB58" s="675">
        <f t="shared" si="5"/>
        <v>0</v>
      </c>
      <c r="AC58" s="675">
        <f t="shared" si="5"/>
        <v>0</v>
      </c>
      <c r="AD58" s="675">
        <f t="shared" si="5"/>
        <v>0</v>
      </c>
      <c r="AE58" s="675">
        <f t="shared" si="5"/>
        <v>0</v>
      </c>
      <c r="AF58" s="675">
        <f t="shared" si="5"/>
        <v>0</v>
      </c>
      <c r="AG58" s="675">
        <f t="shared" si="5"/>
        <v>0</v>
      </c>
      <c r="AH58" s="675">
        <f t="shared" si="5"/>
        <v>0</v>
      </c>
      <c r="AI58" s="675">
        <f t="shared" si="5"/>
        <v>0</v>
      </c>
      <c r="AJ58" s="675">
        <f t="shared" si="5"/>
        <v>0</v>
      </c>
      <c r="AK58" s="675">
        <f t="shared" si="5"/>
        <v>0</v>
      </c>
      <c r="AL58" s="675">
        <f t="shared" si="5"/>
        <v>0</v>
      </c>
      <c r="AM58" s="675">
        <f t="shared" si="5"/>
        <v>0</v>
      </c>
      <c r="AN58" s="675">
        <f t="shared" si="5"/>
        <v>0</v>
      </c>
      <c r="AO58" s="675">
        <f t="shared" si="5"/>
        <v>0</v>
      </c>
      <c r="AP58" s="675">
        <f t="shared" si="5"/>
        <v>0</v>
      </c>
      <c r="AQ58" s="675">
        <f t="shared" si="5"/>
        <v>0</v>
      </c>
      <c r="AR58" s="675">
        <f t="shared" si="5"/>
        <v>0</v>
      </c>
      <c r="AS58" s="675">
        <f t="shared" si="5"/>
        <v>0</v>
      </c>
      <c r="AT58" s="675">
        <f t="shared" si="5"/>
        <v>0</v>
      </c>
      <c r="AU58" s="675">
        <f t="shared" si="5"/>
        <v>0</v>
      </c>
      <c r="AV58" s="675">
        <f t="shared" si="5"/>
        <v>0</v>
      </c>
      <c r="AW58" s="675">
        <f t="shared" si="5"/>
        <v>0</v>
      </c>
      <c r="AX58" s="675">
        <f t="shared" si="5"/>
        <v>0</v>
      </c>
      <c r="AY58" s="676">
        <f t="shared" si="5"/>
        <v>0</v>
      </c>
    </row>
    <row r="59" spans="1:51" s="15" customFormat="1" ht="13.5" outlineLevel="1" x14ac:dyDescent="0.25">
      <c r="B59" s="816" t="s">
        <v>1196</v>
      </c>
      <c r="C59" s="815" t="s">
        <v>1236</v>
      </c>
      <c r="D59" s="686">
        <v>0</v>
      </c>
      <c r="E59" s="686">
        <v>0</v>
      </c>
      <c r="F59" s="686">
        <v>0</v>
      </c>
      <c r="G59" s="686">
        <f t="shared" ref="G59:AY59" si="6">IF(OR(G$54&lt;$C14,G$54&gt;$D14),0,1)</f>
        <v>0</v>
      </c>
      <c r="H59" s="686">
        <f t="shared" si="6"/>
        <v>0</v>
      </c>
      <c r="I59" s="686">
        <f t="shared" si="6"/>
        <v>0</v>
      </c>
      <c r="J59" s="686">
        <f t="shared" si="6"/>
        <v>0</v>
      </c>
      <c r="K59" s="686">
        <f t="shared" si="6"/>
        <v>0</v>
      </c>
      <c r="L59" s="686">
        <f t="shared" si="6"/>
        <v>0</v>
      </c>
      <c r="M59" s="686">
        <f t="shared" si="6"/>
        <v>0</v>
      </c>
      <c r="N59" s="686">
        <f t="shared" si="6"/>
        <v>1</v>
      </c>
      <c r="O59" s="686">
        <f t="shared" si="6"/>
        <v>1</v>
      </c>
      <c r="P59" s="686">
        <f t="shared" si="6"/>
        <v>1</v>
      </c>
      <c r="Q59" s="686">
        <f t="shared" si="6"/>
        <v>1</v>
      </c>
      <c r="R59" s="686">
        <f t="shared" si="6"/>
        <v>0</v>
      </c>
      <c r="S59" s="686">
        <f t="shared" si="6"/>
        <v>0</v>
      </c>
      <c r="T59" s="686">
        <f t="shared" si="6"/>
        <v>0</v>
      </c>
      <c r="U59" s="686">
        <f t="shared" si="6"/>
        <v>0</v>
      </c>
      <c r="V59" s="686">
        <f t="shared" si="6"/>
        <v>0</v>
      </c>
      <c r="W59" s="686">
        <f t="shared" si="6"/>
        <v>0</v>
      </c>
      <c r="X59" s="686">
        <f t="shared" si="6"/>
        <v>0</v>
      </c>
      <c r="Y59" s="686">
        <f t="shared" si="6"/>
        <v>0</v>
      </c>
      <c r="Z59" s="686">
        <f t="shared" si="6"/>
        <v>0</v>
      </c>
      <c r="AA59" s="686">
        <f t="shared" si="6"/>
        <v>0</v>
      </c>
      <c r="AB59" s="686">
        <f t="shared" si="6"/>
        <v>0</v>
      </c>
      <c r="AC59" s="686">
        <f t="shared" si="6"/>
        <v>0</v>
      </c>
      <c r="AD59" s="686">
        <f t="shared" si="6"/>
        <v>0</v>
      </c>
      <c r="AE59" s="686">
        <f t="shared" si="6"/>
        <v>0</v>
      </c>
      <c r="AF59" s="686">
        <f t="shared" si="6"/>
        <v>0</v>
      </c>
      <c r="AG59" s="686">
        <f t="shared" si="6"/>
        <v>0</v>
      </c>
      <c r="AH59" s="686">
        <f t="shared" si="6"/>
        <v>0</v>
      </c>
      <c r="AI59" s="686">
        <f t="shared" si="6"/>
        <v>0</v>
      </c>
      <c r="AJ59" s="686">
        <f t="shared" si="6"/>
        <v>0</v>
      </c>
      <c r="AK59" s="686">
        <f t="shared" si="6"/>
        <v>0</v>
      </c>
      <c r="AL59" s="686">
        <f t="shared" si="6"/>
        <v>0</v>
      </c>
      <c r="AM59" s="686">
        <f t="shared" si="6"/>
        <v>0</v>
      </c>
      <c r="AN59" s="686">
        <f t="shared" si="6"/>
        <v>0</v>
      </c>
      <c r="AO59" s="686">
        <f t="shared" si="6"/>
        <v>0</v>
      </c>
      <c r="AP59" s="686">
        <f t="shared" si="6"/>
        <v>0</v>
      </c>
      <c r="AQ59" s="686">
        <f t="shared" si="6"/>
        <v>0</v>
      </c>
      <c r="AR59" s="686">
        <f t="shared" si="6"/>
        <v>0</v>
      </c>
      <c r="AS59" s="686">
        <f t="shared" si="6"/>
        <v>0</v>
      </c>
      <c r="AT59" s="686">
        <f t="shared" si="6"/>
        <v>0</v>
      </c>
      <c r="AU59" s="686">
        <f t="shared" si="6"/>
        <v>0</v>
      </c>
      <c r="AV59" s="686">
        <f t="shared" si="6"/>
        <v>0</v>
      </c>
      <c r="AW59" s="686">
        <f t="shared" si="6"/>
        <v>0</v>
      </c>
      <c r="AX59" s="686">
        <f t="shared" si="6"/>
        <v>0</v>
      </c>
      <c r="AY59" s="687">
        <f t="shared" si="6"/>
        <v>0</v>
      </c>
    </row>
    <row r="60" spans="1:51" s="15" customFormat="1" ht="13.5" outlineLevel="1" x14ac:dyDescent="0.25">
      <c r="B60" s="817" t="s">
        <v>1197</v>
      </c>
      <c r="C60" s="818" t="s">
        <v>1236</v>
      </c>
      <c r="D60" s="675">
        <v>0</v>
      </c>
      <c r="E60" s="675">
        <v>0</v>
      </c>
      <c r="F60" s="675">
        <v>0</v>
      </c>
      <c r="G60" s="675">
        <f t="shared" ref="G60:AY60" si="7">IF(OR(G$54&lt;$C15,G$54&gt;$D15),0,1)</f>
        <v>0</v>
      </c>
      <c r="H60" s="675">
        <f t="shared" si="7"/>
        <v>0</v>
      </c>
      <c r="I60" s="675">
        <f t="shared" si="7"/>
        <v>0</v>
      </c>
      <c r="J60" s="675">
        <f t="shared" si="7"/>
        <v>0</v>
      </c>
      <c r="K60" s="675">
        <f t="shared" si="7"/>
        <v>0</v>
      </c>
      <c r="L60" s="675">
        <f t="shared" si="7"/>
        <v>0</v>
      </c>
      <c r="M60" s="675">
        <f t="shared" si="7"/>
        <v>0</v>
      </c>
      <c r="N60" s="675">
        <f t="shared" si="7"/>
        <v>0</v>
      </c>
      <c r="O60" s="675">
        <f t="shared" si="7"/>
        <v>0</v>
      </c>
      <c r="P60" s="675">
        <f t="shared" si="7"/>
        <v>0</v>
      </c>
      <c r="Q60" s="675">
        <f t="shared" si="7"/>
        <v>0</v>
      </c>
      <c r="R60" s="675">
        <f t="shared" si="7"/>
        <v>1</v>
      </c>
      <c r="S60" s="675">
        <f t="shared" si="7"/>
        <v>1</v>
      </c>
      <c r="T60" s="675">
        <f t="shared" si="7"/>
        <v>1</v>
      </c>
      <c r="U60" s="675">
        <f t="shared" si="7"/>
        <v>0</v>
      </c>
      <c r="V60" s="675">
        <f t="shared" si="7"/>
        <v>0</v>
      </c>
      <c r="W60" s="675">
        <f t="shared" si="7"/>
        <v>0</v>
      </c>
      <c r="X60" s="675">
        <f t="shared" si="7"/>
        <v>0</v>
      </c>
      <c r="Y60" s="675">
        <f t="shared" si="7"/>
        <v>0</v>
      </c>
      <c r="Z60" s="675">
        <f t="shared" si="7"/>
        <v>0</v>
      </c>
      <c r="AA60" s="675">
        <f t="shared" si="7"/>
        <v>0</v>
      </c>
      <c r="AB60" s="675">
        <f t="shared" si="7"/>
        <v>0</v>
      </c>
      <c r="AC60" s="675">
        <f t="shared" si="7"/>
        <v>0</v>
      </c>
      <c r="AD60" s="675">
        <f t="shared" si="7"/>
        <v>0</v>
      </c>
      <c r="AE60" s="675">
        <f t="shared" si="7"/>
        <v>0</v>
      </c>
      <c r="AF60" s="675">
        <f t="shared" si="7"/>
        <v>0</v>
      </c>
      <c r="AG60" s="675">
        <f t="shared" si="7"/>
        <v>0</v>
      </c>
      <c r="AH60" s="675">
        <f t="shared" si="7"/>
        <v>0</v>
      </c>
      <c r="AI60" s="675">
        <f t="shared" si="7"/>
        <v>0</v>
      </c>
      <c r="AJ60" s="675">
        <f t="shared" si="7"/>
        <v>0</v>
      </c>
      <c r="AK60" s="675">
        <f t="shared" si="7"/>
        <v>0</v>
      </c>
      <c r="AL60" s="675">
        <f t="shared" si="7"/>
        <v>0</v>
      </c>
      <c r="AM60" s="675">
        <f t="shared" si="7"/>
        <v>0</v>
      </c>
      <c r="AN60" s="675">
        <f t="shared" si="7"/>
        <v>0</v>
      </c>
      <c r="AO60" s="675">
        <f t="shared" si="7"/>
        <v>0</v>
      </c>
      <c r="AP60" s="675">
        <f t="shared" si="7"/>
        <v>0</v>
      </c>
      <c r="AQ60" s="675">
        <f t="shared" si="7"/>
        <v>0</v>
      </c>
      <c r="AR60" s="675">
        <f t="shared" si="7"/>
        <v>0</v>
      </c>
      <c r="AS60" s="675">
        <f t="shared" si="7"/>
        <v>0</v>
      </c>
      <c r="AT60" s="675">
        <f t="shared" si="7"/>
        <v>0</v>
      </c>
      <c r="AU60" s="675">
        <f t="shared" si="7"/>
        <v>0</v>
      </c>
      <c r="AV60" s="675">
        <f t="shared" si="7"/>
        <v>0</v>
      </c>
      <c r="AW60" s="675">
        <f t="shared" si="7"/>
        <v>0</v>
      </c>
      <c r="AX60" s="675">
        <f t="shared" si="7"/>
        <v>0</v>
      </c>
      <c r="AY60" s="676">
        <f t="shared" si="7"/>
        <v>0</v>
      </c>
    </row>
    <row r="61" spans="1:51" s="15" customFormat="1" ht="13.5" outlineLevel="1" x14ac:dyDescent="0.25">
      <c r="B61" s="816" t="s">
        <v>1198</v>
      </c>
      <c r="C61" s="815" t="s">
        <v>1236</v>
      </c>
      <c r="D61" s="686">
        <v>0</v>
      </c>
      <c r="E61" s="686">
        <v>0</v>
      </c>
      <c r="F61" s="686">
        <v>0</v>
      </c>
      <c r="G61" s="686">
        <f t="shared" ref="G61:AY61" si="8">IF(OR(G$54&lt;$C16,G$54&gt;$D16),0,1)</f>
        <v>0</v>
      </c>
      <c r="H61" s="686">
        <f t="shared" si="8"/>
        <v>0</v>
      </c>
      <c r="I61" s="686">
        <f t="shared" si="8"/>
        <v>0</v>
      </c>
      <c r="J61" s="686">
        <f t="shared" si="8"/>
        <v>0</v>
      </c>
      <c r="K61" s="686">
        <f t="shared" si="8"/>
        <v>0</v>
      </c>
      <c r="L61" s="686">
        <f t="shared" si="8"/>
        <v>0</v>
      </c>
      <c r="M61" s="686">
        <f t="shared" si="8"/>
        <v>0</v>
      </c>
      <c r="N61" s="686">
        <f t="shared" si="8"/>
        <v>0</v>
      </c>
      <c r="O61" s="686">
        <f t="shared" si="8"/>
        <v>0</v>
      </c>
      <c r="P61" s="686">
        <f t="shared" si="8"/>
        <v>0</v>
      </c>
      <c r="Q61" s="686">
        <f t="shared" si="8"/>
        <v>0</v>
      </c>
      <c r="R61" s="686">
        <f t="shared" si="8"/>
        <v>0</v>
      </c>
      <c r="S61" s="686">
        <f t="shared" si="8"/>
        <v>0</v>
      </c>
      <c r="T61" s="686">
        <f t="shared" si="8"/>
        <v>0</v>
      </c>
      <c r="U61" s="686">
        <f t="shared" si="8"/>
        <v>1</v>
      </c>
      <c r="V61" s="686">
        <f t="shared" si="8"/>
        <v>1</v>
      </c>
      <c r="W61" s="686">
        <f t="shared" si="8"/>
        <v>1</v>
      </c>
      <c r="X61" s="686">
        <f t="shared" si="8"/>
        <v>1</v>
      </c>
      <c r="Y61" s="686">
        <f t="shared" si="8"/>
        <v>0</v>
      </c>
      <c r="Z61" s="686">
        <f t="shared" si="8"/>
        <v>0</v>
      </c>
      <c r="AA61" s="686">
        <f t="shared" si="8"/>
        <v>0</v>
      </c>
      <c r="AB61" s="686">
        <f t="shared" si="8"/>
        <v>0</v>
      </c>
      <c r="AC61" s="686">
        <f t="shared" si="8"/>
        <v>0</v>
      </c>
      <c r="AD61" s="686">
        <f t="shared" si="8"/>
        <v>0</v>
      </c>
      <c r="AE61" s="686">
        <f t="shared" si="8"/>
        <v>0</v>
      </c>
      <c r="AF61" s="686">
        <f t="shared" si="8"/>
        <v>0</v>
      </c>
      <c r="AG61" s="686">
        <f t="shared" si="8"/>
        <v>0</v>
      </c>
      <c r="AH61" s="686">
        <f t="shared" si="8"/>
        <v>0</v>
      </c>
      <c r="AI61" s="686">
        <f t="shared" si="8"/>
        <v>0</v>
      </c>
      <c r="AJ61" s="686">
        <f t="shared" si="8"/>
        <v>0</v>
      </c>
      <c r="AK61" s="686">
        <f t="shared" si="8"/>
        <v>0</v>
      </c>
      <c r="AL61" s="686">
        <f t="shared" si="8"/>
        <v>0</v>
      </c>
      <c r="AM61" s="686">
        <f t="shared" si="8"/>
        <v>0</v>
      </c>
      <c r="AN61" s="686">
        <f t="shared" si="8"/>
        <v>0</v>
      </c>
      <c r="AO61" s="686">
        <f t="shared" si="8"/>
        <v>0</v>
      </c>
      <c r="AP61" s="686">
        <f t="shared" si="8"/>
        <v>0</v>
      </c>
      <c r="AQ61" s="686">
        <f t="shared" si="8"/>
        <v>0</v>
      </c>
      <c r="AR61" s="686">
        <f t="shared" si="8"/>
        <v>0</v>
      </c>
      <c r="AS61" s="686">
        <f t="shared" si="8"/>
        <v>0</v>
      </c>
      <c r="AT61" s="686">
        <f t="shared" si="8"/>
        <v>0</v>
      </c>
      <c r="AU61" s="686">
        <f t="shared" si="8"/>
        <v>0</v>
      </c>
      <c r="AV61" s="686">
        <f t="shared" si="8"/>
        <v>0</v>
      </c>
      <c r="AW61" s="686">
        <f t="shared" si="8"/>
        <v>0</v>
      </c>
      <c r="AX61" s="686">
        <f t="shared" si="8"/>
        <v>0</v>
      </c>
      <c r="AY61" s="687">
        <f t="shared" si="8"/>
        <v>0</v>
      </c>
    </row>
    <row r="62" spans="1:51" s="15" customFormat="1" ht="13.5" outlineLevel="1" x14ac:dyDescent="0.25">
      <c r="B62" s="817" t="s">
        <v>1199</v>
      </c>
      <c r="C62" s="818" t="s">
        <v>1236</v>
      </c>
      <c r="D62" s="675">
        <v>0</v>
      </c>
      <c r="E62" s="675">
        <v>0</v>
      </c>
      <c r="F62" s="675">
        <v>0</v>
      </c>
      <c r="G62" s="675">
        <f t="shared" ref="G62:AY62" si="9">IF(OR(G$54&lt;$C17,G$54&gt;$D17),0,1)</f>
        <v>0</v>
      </c>
      <c r="H62" s="675">
        <f t="shared" si="9"/>
        <v>0</v>
      </c>
      <c r="I62" s="675">
        <f t="shared" si="9"/>
        <v>0</v>
      </c>
      <c r="J62" s="675">
        <f t="shared" si="9"/>
        <v>0</v>
      </c>
      <c r="K62" s="675">
        <f t="shared" si="9"/>
        <v>0</v>
      </c>
      <c r="L62" s="675">
        <f t="shared" si="9"/>
        <v>0</v>
      </c>
      <c r="M62" s="675">
        <f t="shared" si="9"/>
        <v>0</v>
      </c>
      <c r="N62" s="675">
        <f t="shared" si="9"/>
        <v>0</v>
      </c>
      <c r="O62" s="675">
        <f t="shared" si="9"/>
        <v>0</v>
      </c>
      <c r="P62" s="675">
        <f t="shared" si="9"/>
        <v>0</v>
      </c>
      <c r="Q62" s="675">
        <f t="shared" si="9"/>
        <v>0</v>
      </c>
      <c r="R62" s="675">
        <f t="shared" si="9"/>
        <v>0</v>
      </c>
      <c r="S62" s="675">
        <f t="shared" si="9"/>
        <v>0</v>
      </c>
      <c r="T62" s="675">
        <f t="shared" si="9"/>
        <v>0</v>
      </c>
      <c r="U62" s="675">
        <f t="shared" si="9"/>
        <v>0</v>
      </c>
      <c r="V62" s="675">
        <f t="shared" si="9"/>
        <v>0</v>
      </c>
      <c r="W62" s="675">
        <f t="shared" si="9"/>
        <v>0</v>
      </c>
      <c r="X62" s="675">
        <f t="shared" si="9"/>
        <v>0</v>
      </c>
      <c r="Y62" s="675">
        <f t="shared" si="9"/>
        <v>1</v>
      </c>
      <c r="Z62" s="675">
        <f t="shared" si="9"/>
        <v>1</v>
      </c>
      <c r="AA62" s="675">
        <f t="shared" si="9"/>
        <v>1</v>
      </c>
      <c r="AB62" s="675">
        <f t="shared" si="9"/>
        <v>1</v>
      </c>
      <c r="AC62" s="675">
        <f t="shared" si="9"/>
        <v>0</v>
      </c>
      <c r="AD62" s="675">
        <f t="shared" si="9"/>
        <v>0</v>
      </c>
      <c r="AE62" s="675">
        <f t="shared" si="9"/>
        <v>0</v>
      </c>
      <c r="AF62" s="675">
        <f t="shared" si="9"/>
        <v>0</v>
      </c>
      <c r="AG62" s="675">
        <f t="shared" si="9"/>
        <v>0</v>
      </c>
      <c r="AH62" s="675">
        <f t="shared" si="9"/>
        <v>0</v>
      </c>
      <c r="AI62" s="675">
        <f t="shared" si="9"/>
        <v>0</v>
      </c>
      <c r="AJ62" s="675">
        <f t="shared" si="9"/>
        <v>0</v>
      </c>
      <c r="AK62" s="675">
        <f t="shared" si="9"/>
        <v>0</v>
      </c>
      <c r="AL62" s="675">
        <f t="shared" si="9"/>
        <v>0</v>
      </c>
      <c r="AM62" s="675">
        <f t="shared" si="9"/>
        <v>0</v>
      </c>
      <c r="AN62" s="675">
        <f t="shared" si="9"/>
        <v>0</v>
      </c>
      <c r="AO62" s="675">
        <f t="shared" si="9"/>
        <v>0</v>
      </c>
      <c r="AP62" s="675">
        <f t="shared" si="9"/>
        <v>0</v>
      </c>
      <c r="AQ62" s="675">
        <f t="shared" si="9"/>
        <v>0</v>
      </c>
      <c r="AR62" s="675">
        <f t="shared" si="9"/>
        <v>0</v>
      </c>
      <c r="AS62" s="675">
        <f t="shared" si="9"/>
        <v>0</v>
      </c>
      <c r="AT62" s="675">
        <f t="shared" si="9"/>
        <v>0</v>
      </c>
      <c r="AU62" s="675">
        <f t="shared" si="9"/>
        <v>0</v>
      </c>
      <c r="AV62" s="675">
        <f t="shared" si="9"/>
        <v>0</v>
      </c>
      <c r="AW62" s="675">
        <f t="shared" si="9"/>
        <v>0</v>
      </c>
      <c r="AX62" s="675">
        <f t="shared" si="9"/>
        <v>0</v>
      </c>
      <c r="AY62" s="676">
        <f t="shared" si="9"/>
        <v>0</v>
      </c>
    </row>
    <row r="63" spans="1:51" s="15" customFormat="1" ht="13.5" outlineLevel="1" x14ac:dyDescent="0.25">
      <c r="B63" s="816" t="s">
        <v>1237</v>
      </c>
      <c r="C63" s="815" t="s">
        <v>1238</v>
      </c>
      <c r="D63" s="686">
        <v>0</v>
      </c>
      <c r="E63" s="686">
        <v>0</v>
      </c>
      <c r="F63" s="686">
        <f>IF(F54&gt;$D$11,$I$11,0)+IF(F54&gt;$D$12,$I$12,0)+IF(F54&gt;$D$13,$I$13,0)+IF(F54&gt;$D$14,$I$14,0)+IF(F54&gt;$D$15,$I$15,0)+IF(F54&gt;$D$16,$I$16,0)+IF(F54&gt;$D$17,$I$17,0)</f>
        <v>0</v>
      </c>
      <c r="G63" s="686">
        <f t="shared" ref="G63:AY63" si="10">IF(G54&gt;$D$11,$I$11,0)+IF(G54&gt;$D$12,$I$12,0)+IF(G54&gt;$D$13,$I$13,0)+IF(G54&gt;$D$14,$I$14,0)+IF(G54&gt;$D$15,$I$15,0)+IF(G54&gt;$D$16,$I$16,0)+IF(G54&gt;$D$17,$I$17,0)</f>
        <v>0</v>
      </c>
      <c r="H63" s="686">
        <f t="shared" si="10"/>
        <v>0</v>
      </c>
      <c r="I63" s="686">
        <f t="shared" si="10"/>
        <v>3</v>
      </c>
      <c r="J63" s="686">
        <f t="shared" si="10"/>
        <v>3</v>
      </c>
      <c r="K63" s="686">
        <f t="shared" si="10"/>
        <v>3</v>
      </c>
      <c r="L63" s="686">
        <f t="shared" si="10"/>
        <v>3</v>
      </c>
      <c r="M63" s="686">
        <f t="shared" si="10"/>
        <v>3</v>
      </c>
      <c r="N63" s="686">
        <f t="shared" si="10"/>
        <v>3</v>
      </c>
      <c r="O63" s="686">
        <f t="shared" si="10"/>
        <v>18</v>
      </c>
      <c r="P63" s="686">
        <f t="shared" si="10"/>
        <v>18</v>
      </c>
      <c r="Q63" s="686">
        <f t="shared" si="10"/>
        <v>18</v>
      </c>
      <c r="R63" s="686">
        <f t="shared" si="10"/>
        <v>35</v>
      </c>
      <c r="S63" s="686">
        <f t="shared" si="10"/>
        <v>35</v>
      </c>
      <c r="T63" s="686">
        <f t="shared" si="10"/>
        <v>35</v>
      </c>
      <c r="U63" s="686">
        <f t="shared" si="10"/>
        <v>43</v>
      </c>
      <c r="V63" s="686">
        <f t="shared" si="10"/>
        <v>43</v>
      </c>
      <c r="W63" s="686">
        <f t="shared" si="10"/>
        <v>47</v>
      </c>
      <c r="X63" s="686">
        <f t="shared" si="10"/>
        <v>47</v>
      </c>
      <c r="Y63" s="686">
        <f t="shared" si="10"/>
        <v>68.599999999999994</v>
      </c>
      <c r="Z63" s="686">
        <f t="shared" si="10"/>
        <v>68.599999999999994</v>
      </c>
      <c r="AA63" s="686">
        <f t="shared" si="10"/>
        <v>68.599999999999994</v>
      </c>
      <c r="AB63" s="686">
        <f t="shared" si="10"/>
        <v>68.599999999999994</v>
      </c>
      <c r="AC63" s="686">
        <f t="shared" si="10"/>
        <v>84.8</v>
      </c>
      <c r="AD63" s="686">
        <f t="shared" si="10"/>
        <v>84.8</v>
      </c>
      <c r="AE63" s="686">
        <f t="shared" si="10"/>
        <v>84.8</v>
      </c>
      <c r="AF63" s="686">
        <f t="shared" si="10"/>
        <v>84.8</v>
      </c>
      <c r="AG63" s="686">
        <f t="shared" si="10"/>
        <v>84.8</v>
      </c>
      <c r="AH63" s="686">
        <f t="shared" si="10"/>
        <v>84.8</v>
      </c>
      <c r="AI63" s="686">
        <f t="shared" si="10"/>
        <v>84.8</v>
      </c>
      <c r="AJ63" s="686">
        <f t="shared" si="10"/>
        <v>84.8</v>
      </c>
      <c r="AK63" s="686">
        <f t="shared" si="10"/>
        <v>84.8</v>
      </c>
      <c r="AL63" s="686">
        <f t="shared" si="10"/>
        <v>84.8</v>
      </c>
      <c r="AM63" s="686">
        <f t="shared" si="10"/>
        <v>84.8</v>
      </c>
      <c r="AN63" s="686">
        <f t="shared" si="10"/>
        <v>84.8</v>
      </c>
      <c r="AO63" s="686">
        <f t="shared" si="10"/>
        <v>84.8</v>
      </c>
      <c r="AP63" s="686">
        <f t="shared" si="10"/>
        <v>84.8</v>
      </c>
      <c r="AQ63" s="686">
        <f t="shared" si="10"/>
        <v>84.8</v>
      </c>
      <c r="AR63" s="686">
        <f t="shared" si="10"/>
        <v>84.8</v>
      </c>
      <c r="AS63" s="686">
        <f t="shared" si="10"/>
        <v>84.8</v>
      </c>
      <c r="AT63" s="686">
        <f t="shared" si="10"/>
        <v>84.8</v>
      </c>
      <c r="AU63" s="686">
        <f t="shared" si="10"/>
        <v>84.8</v>
      </c>
      <c r="AV63" s="686">
        <f t="shared" si="10"/>
        <v>84.8</v>
      </c>
      <c r="AW63" s="686">
        <f t="shared" si="10"/>
        <v>84.8</v>
      </c>
      <c r="AX63" s="686">
        <f t="shared" si="10"/>
        <v>84.8</v>
      </c>
      <c r="AY63" s="687">
        <f t="shared" si="10"/>
        <v>84.8</v>
      </c>
    </row>
    <row r="64" spans="1:51" s="15" customFormat="1" ht="13.5" outlineLevel="1" x14ac:dyDescent="0.25">
      <c r="B64" s="431" t="s">
        <v>1239</v>
      </c>
      <c r="C64" s="719" t="s">
        <v>1240</v>
      </c>
      <c r="D64" s="820">
        <v>0</v>
      </c>
      <c r="E64" s="820">
        <v>0</v>
      </c>
      <c r="F64" s="820">
        <v>0</v>
      </c>
      <c r="G64" s="820">
        <f t="shared" ref="G64:AY64" si="11">(IF(G54&gt;$D$13,$L$13,0)+IF($G$54&gt;$D$14,$L$14,0)+IF(G54&gt;$D$15,$L$15,0)+IF(G54&gt;$D$16,$L$16,0)+IF(G54&gt;$D$17,$L$17,0))/1000000*365</f>
        <v>0</v>
      </c>
      <c r="H64" s="820">
        <f t="shared" si="11"/>
        <v>0</v>
      </c>
      <c r="I64" s="820">
        <f t="shared" si="11"/>
        <v>0</v>
      </c>
      <c r="J64" s="820">
        <f t="shared" si="11"/>
        <v>0</v>
      </c>
      <c r="K64" s="820">
        <f t="shared" si="11"/>
        <v>0</v>
      </c>
      <c r="L64" s="820">
        <f t="shared" si="11"/>
        <v>0</v>
      </c>
      <c r="M64" s="820">
        <f t="shared" si="11"/>
        <v>0</v>
      </c>
      <c r="N64" s="820">
        <f t="shared" si="11"/>
        <v>0</v>
      </c>
      <c r="O64" s="820">
        <f t="shared" si="11"/>
        <v>10.95</v>
      </c>
      <c r="P64" s="820">
        <f t="shared" si="11"/>
        <v>10.95</v>
      </c>
      <c r="Q64" s="820">
        <f t="shared" si="11"/>
        <v>10.95</v>
      </c>
      <c r="R64" s="820">
        <f t="shared" si="11"/>
        <v>10.95</v>
      </c>
      <c r="S64" s="820">
        <f t="shared" si="11"/>
        <v>10.95</v>
      </c>
      <c r="T64" s="820">
        <f t="shared" si="11"/>
        <v>10.95</v>
      </c>
      <c r="U64" s="820">
        <f t="shared" si="11"/>
        <v>14.6</v>
      </c>
      <c r="V64" s="820">
        <f t="shared" si="11"/>
        <v>14.6</v>
      </c>
      <c r="W64" s="820">
        <f t="shared" si="11"/>
        <v>14.6</v>
      </c>
      <c r="X64" s="820">
        <f t="shared" si="11"/>
        <v>14.6</v>
      </c>
      <c r="Y64" s="820">
        <f t="shared" si="11"/>
        <v>17.155000000000001</v>
      </c>
      <c r="Z64" s="820">
        <f t="shared" si="11"/>
        <v>17.155000000000001</v>
      </c>
      <c r="AA64" s="820">
        <f t="shared" si="11"/>
        <v>17.155000000000001</v>
      </c>
      <c r="AB64" s="820">
        <f t="shared" si="11"/>
        <v>17.155000000000001</v>
      </c>
      <c r="AC64" s="820">
        <f t="shared" si="11"/>
        <v>18.98</v>
      </c>
      <c r="AD64" s="820">
        <f t="shared" si="11"/>
        <v>18.98</v>
      </c>
      <c r="AE64" s="820">
        <f t="shared" si="11"/>
        <v>18.98</v>
      </c>
      <c r="AF64" s="820">
        <f t="shared" si="11"/>
        <v>18.98</v>
      </c>
      <c r="AG64" s="820">
        <f t="shared" si="11"/>
        <v>18.98</v>
      </c>
      <c r="AH64" s="820">
        <f t="shared" si="11"/>
        <v>18.98</v>
      </c>
      <c r="AI64" s="820">
        <f t="shared" si="11"/>
        <v>18.98</v>
      </c>
      <c r="AJ64" s="820">
        <f t="shared" si="11"/>
        <v>18.98</v>
      </c>
      <c r="AK64" s="820">
        <f t="shared" si="11"/>
        <v>18.98</v>
      </c>
      <c r="AL64" s="820">
        <f t="shared" si="11"/>
        <v>18.98</v>
      </c>
      <c r="AM64" s="820">
        <f t="shared" si="11"/>
        <v>18.98</v>
      </c>
      <c r="AN64" s="820">
        <f t="shared" si="11"/>
        <v>18.98</v>
      </c>
      <c r="AO64" s="820">
        <f t="shared" si="11"/>
        <v>18.98</v>
      </c>
      <c r="AP64" s="820">
        <f t="shared" si="11"/>
        <v>18.98</v>
      </c>
      <c r="AQ64" s="820">
        <f t="shared" si="11"/>
        <v>18.98</v>
      </c>
      <c r="AR64" s="820">
        <f t="shared" si="11"/>
        <v>18.98</v>
      </c>
      <c r="AS64" s="820">
        <f t="shared" si="11"/>
        <v>18.98</v>
      </c>
      <c r="AT64" s="820">
        <f t="shared" si="11"/>
        <v>18.98</v>
      </c>
      <c r="AU64" s="820">
        <f t="shared" si="11"/>
        <v>18.98</v>
      </c>
      <c r="AV64" s="820">
        <f t="shared" si="11"/>
        <v>18.98</v>
      </c>
      <c r="AW64" s="820">
        <f t="shared" si="11"/>
        <v>18.98</v>
      </c>
      <c r="AX64" s="820">
        <f t="shared" si="11"/>
        <v>18.98</v>
      </c>
      <c r="AY64" s="821">
        <f t="shared" si="11"/>
        <v>18.98</v>
      </c>
    </row>
    <row r="65" spans="2:51" s="15" customFormat="1" ht="13.5" outlineLevel="1" x14ac:dyDescent="0.25">
      <c r="B65" s="431"/>
      <c r="C65" s="719"/>
      <c r="D65" s="719"/>
      <c r="E65" s="719"/>
      <c r="F65" s="719"/>
      <c r="G65" s="719"/>
      <c r="H65" s="719"/>
      <c r="I65" s="719"/>
      <c r="J65" s="719"/>
      <c r="K65" s="719"/>
      <c r="L65" s="719"/>
      <c r="M65" s="719"/>
      <c r="N65" s="719"/>
      <c r="O65" s="719"/>
      <c r="P65" s="719"/>
      <c r="Q65" s="719"/>
      <c r="R65" s="719"/>
      <c r="S65" s="719"/>
      <c r="T65" s="719"/>
      <c r="U65" s="719"/>
      <c r="V65" s="719"/>
      <c r="W65" s="719"/>
      <c r="X65" s="719"/>
      <c r="Y65" s="719"/>
      <c r="Z65" s="719"/>
      <c r="AA65" s="719"/>
      <c r="AB65" s="719"/>
      <c r="AC65" s="719"/>
      <c r="AD65" s="719"/>
      <c r="AE65" s="719"/>
      <c r="AF65" s="719"/>
      <c r="AG65" s="719"/>
      <c r="AH65" s="719"/>
      <c r="AI65" s="719"/>
      <c r="AJ65" s="719"/>
      <c r="AK65" s="719"/>
      <c r="AL65" s="719"/>
      <c r="AM65" s="719"/>
      <c r="AN65" s="719"/>
      <c r="AO65" s="719"/>
      <c r="AP65" s="719"/>
      <c r="AQ65" s="719"/>
      <c r="AR65" s="719"/>
      <c r="AS65" s="719"/>
      <c r="AT65" s="719"/>
      <c r="AU65" s="719"/>
      <c r="AV65" s="719"/>
      <c r="AW65" s="719"/>
      <c r="AX65" s="719"/>
      <c r="AY65" s="434"/>
    </row>
    <row r="66" spans="2:51" s="15" customFormat="1" ht="13.5" outlineLevel="1" x14ac:dyDescent="0.25">
      <c r="B66" s="696" t="s">
        <v>1241</v>
      </c>
      <c r="C66" s="697"/>
      <c r="D66" s="697"/>
      <c r="E66" s="697"/>
      <c r="F66" s="697"/>
      <c r="G66" s="697"/>
      <c r="H66" s="697"/>
      <c r="I66" s="697"/>
      <c r="J66" s="697"/>
      <c r="K66" s="697"/>
      <c r="L66" s="697"/>
      <c r="M66" s="697"/>
      <c r="N66" s="697"/>
      <c r="O66" s="697"/>
      <c r="P66" s="697"/>
      <c r="Q66" s="697"/>
      <c r="R66" s="697"/>
      <c r="S66" s="697"/>
      <c r="T66" s="697"/>
      <c r="U66" s="697"/>
      <c r="V66" s="697"/>
      <c r="W66" s="697"/>
      <c r="X66" s="697"/>
      <c r="Y66" s="697"/>
      <c r="Z66" s="697"/>
      <c r="AA66" s="697"/>
      <c r="AB66" s="697"/>
      <c r="AC66" s="697"/>
      <c r="AD66" s="697"/>
      <c r="AE66" s="697"/>
      <c r="AF66" s="697"/>
      <c r="AG66" s="697"/>
      <c r="AH66" s="697"/>
      <c r="AI66" s="697"/>
      <c r="AJ66" s="697"/>
      <c r="AK66" s="697"/>
      <c r="AL66" s="697"/>
      <c r="AM66" s="697"/>
      <c r="AN66" s="697"/>
      <c r="AO66" s="697"/>
      <c r="AP66" s="697"/>
      <c r="AQ66" s="697"/>
      <c r="AR66" s="697"/>
      <c r="AS66" s="697"/>
      <c r="AT66" s="697"/>
      <c r="AU66" s="697"/>
      <c r="AV66" s="697"/>
      <c r="AW66" s="697"/>
      <c r="AX66" s="697"/>
      <c r="AY66" s="746"/>
    </row>
    <row r="67" spans="2:51" s="15" customFormat="1" ht="13.5" outlineLevel="1" x14ac:dyDescent="0.25">
      <c r="B67" s="817" t="s">
        <v>1242</v>
      </c>
      <c r="C67" s="818" t="s">
        <v>1243</v>
      </c>
      <c r="D67" s="675">
        <v>0</v>
      </c>
      <c r="E67" s="675">
        <v>0</v>
      </c>
      <c r="F67" s="675">
        <f>SUMPRODUCT(F56:F62,$H$11:$H$17)*1000</f>
        <v>14000</v>
      </c>
      <c r="G67" s="675">
        <f>SUMPRODUCT(G56:G62,$H$11:$H$17)*1000</f>
        <v>14000</v>
      </c>
      <c r="H67" s="675">
        <f t="shared" ref="H67:AY67" si="12">SUMPRODUCT(H56:H62,$H$11:$H$17)*1000</f>
        <v>14000</v>
      </c>
      <c r="I67" s="675">
        <f t="shared" si="12"/>
        <v>0</v>
      </c>
      <c r="J67" s="675">
        <f t="shared" si="12"/>
        <v>0</v>
      </c>
      <c r="K67" s="675">
        <f t="shared" si="12"/>
        <v>40333.333333333336</v>
      </c>
      <c r="L67" s="675">
        <f t="shared" si="12"/>
        <v>40333.333333333336</v>
      </c>
      <c r="M67" s="675">
        <f t="shared" si="12"/>
        <v>40333.333333333336</v>
      </c>
      <c r="N67" s="675">
        <f t="shared" si="12"/>
        <v>80666.666666666672</v>
      </c>
      <c r="O67" s="675">
        <f t="shared" si="12"/>
        <v>40333.333333333336</v>
      </c>
      <c r="P67" s="675">
        <f t="shared" si="12"/>
        <v>40333.333333333336</v>
      </c>
      <c r="Q67" s="675">
        <f t="shared" si="12"/>
        <v>40333.333333333336</v>
      </c>
      <c r="R67" s="675">
        <f t="shared" si="12"/>
        <v>27500.000000000004</v>
      </c>
      <c r="S67" s="675">
        <f t="shared" si="12"/>
        <v>34833.333333333336</v>
      </c>
      <c r="T67" s="675">
        <f t="shared" si="12"/>
        <v>34833.333333333336</v>
      </c>
      <c r="U67" s="675">
        <f t="shared" si="12"/>
        <v>128333.33333333334</v>
      </c>
      <c r="V67" s="675">
        <f t="shared" si="12"/>
        <v>128333.33333333334</v>
      </c>
      <c r="W67" s="675">
        <f t="shared" si="12"/>
        <v>121000.00000000001</v>
      </c>
      <c r="X67" s="675">
        <f t="shared" si="12"/>
        <v>121000.00000000001</v>
      </c>
      <c r="Y67" s="675">
        <f t="shared" si="12"/>
        <v>69666.666666666672</v>
      </c>
      <c r="Z67" s="675">
        <f t="shared" si="12"/>
        <v>69666.666666666672</v>
      </c>
      <c r="AA67" s="675">
        <f t="shared" si="12"/>
        <v>69666.666666666672</v>
      </c>
      <c r="AB67" s="675">
        <f t="shared" si="12"/>
        <v>69666.666666666672</v>
      </c>
      <c r="AC67" s="675">
        <f t="shared" si="12"/>
        <v>0</v>
      </c>
      <c r="AD67" s="675">
        <f t="shared" si="12"/>
        <v>0</v>
      </c>
      <c r="AE67" s="675">
        <f t="shared" si="12"/>
        <v>0</v>
      </c>
      <c r="AF67" s="675">
        <f t="shared" si="12"/>
        <v>0</v>
      </c>
      <c r="AG67" s="675">
        <f t="shared" si="12"/>
        <v>0</v>
      </c>
      <c r="AH67" s="675">
        <f t="shared" si="12"/>
        <v>0</v>
      </c>
      <c r="AI67" s="675">
        <f t="shared" si="12"/>
        <v>0</v>
      </c>
      <c r="AJ67" s="675">
        <f t="shared" si="12"/>
        <v>0</v>
      </c>
      <c r="AK67" s="675">
        <f t="shared" si="12"/>
        <v>0</v>
      </c>
      <c r="AL67" s="675">
        <f t="shared" si="12"/>
        <v>0</v>
      </c>
      <c r="AM67" s="675">
        <f t="shared" si="12"/>
        <v>0</v>
      </c>
      <c r="AN67" s="675">
        <f t="shared" si="12"/>
        <v>0</v>
      </c>
      <c r="AO67" s="675">
        <f t="shared" si="12"/>
        <v>0</v>
      </c>
      <c r="AP67" s="675">
        <f t="shared" si="12"/>
        <v>0</v>
      </c>
      <c r="AQ67" s="675">
        <f t="shared" si="12"/>
        <v>0</v>
      </c>
      <c r="AR67" s="675">
        <f t="shared" si="12"/>
        <v>0</v>
      </c>
      <c r="AS67" s="675">
        <f t="shared" si="12"/>
        <v>0</v>
      </c>
      <c r="AT67" s="675">
        <f t="shared" si="12"/>
        <v>0</v>
      </c>
      <c r="AU67" s="675">
        <f t="shared" si="12"/>
        <v>0</v>
      </c>
      <c r="AV67" s="675">
        <f t="shared" si="12"/>
        <v>0</v>
      </c>
      <c r="AW67" s="675">
        <f t="shared" si="12"/>
        <v>0</v>
      </c>
      <c r="AX67" s="675">
        <f t="shared" si="12"/>
        <v>0</v>
      </c>
      <c r="AY67" s="676">
        <f t="shared" si="12"/>
        <v>0</v>
      </c>
    </row>
    <row r="68" spans="2:51" s="15" customFormat="1" ht="13.5" outlineLevel="1" x14ac:dyDescent="0.25">
      <c r="B68" s="817" t="s">
        <v>1244</v>
      </c>
      <c r="C68" s="818" t="s">
        <v>1243</v>
      </c>
      <c r="D68" s="675">
        <v>0</v>
      </c>
      <c r="E68" s="675">
        <v>0</v>
      </c>
      <c r="F68" s="675">
        <f>(IF($D$11=F54,$I$11*$C$19,0)+IF($D$12=F54,$I$12*$C$19,0)+IF($D$13=F54,$I$13*$C$19,0)+IF($D$14=F54,$I$14*$C$19,0)+IF($D$15=F54,$I$15*$C$19,0)+IF($D$16=F54,$I$16*$C$19,0)+IF($D$17=F54,$I$17*$C$19,0))*1000</f>
        <v>0</v>
      </c>
      <c r="G68" s="675">
        <f>(IF($D$11=G54,$I$11*$C$19,0)+IF($D$12=G54,$I$12*$C$19,0)+IF($D$13=G54,$I$13*$C$19,0)+IF($D$14=G54,$I$14*$C$19,0)+IF($D$15=G54,$I$15*$C$19,0)+IF($D$16=G54,$I$16*$C$19,0)+IF($D$17=G54,$I$17*$C$19,0))*1000</f>
        <v>0</v>
      </c>
      <c r="H68" s="675">
        <f t="shared" ref="H68:AY68" si="13">(IF($D$11=H54,$I$11*$C$19,0)+IF($D$12=H54,$I$12*$C$19,0)+IF($D$13=H54,$I$13*$C$19,0)+IF($D$14=H54,$I$14*$C$19,0)+IF($D$15=H54,$I$15*$C$19,0)+IF($D$16=H54,$I$16*$C$19,0)+IF($D$17=H54,$I$17*$C$19,0))*1000</f>
        <v>7500</v>
      </c>
      <c r="I68" s="675">
        <f t="shared" si="13"/>
        <v>0</v>
      </c>
      <c r="J68" s="675">
        <f t="shared" si="13"/>
        <v>0</v>
      </c>
      <c r="K68" s="675">
        <f t="shared" si="13"/>
        <v>0</v>
      </c>
      <c r="L68" s="675">
        <f t="shared" si="13"/>
        <v>0</v>
      </c>
      <c r="M68" s="675">
        <f t="shared" si="13"/>
        <v>0</v>
      </c>
      <c r="N68" s="675">
        <f t="shared" si="13"/>
        <v>37500</v>
      </c>
      <c r="O68" s="675">
        <f t="shared" si="13"/>
        <v>0</v>
      </c>
      <c r="P68" s="675">
        <f t="shared" si="13"/>
        <v>0</v>
      </c>
      <c r="Q68" s="675">
        <f t="shared" si="13"/>
        <v>42500</v>
      </c>
      <c r="R68" s="675">
        <f t="shared" si="13"/>
        <v>0</v>
      </c>
      <c r="S68" s="675">
        <f t="shared" si="13"/>
        <v>0</v>
      </c>
      <c r="T68" s="675">
        <f t="shared" si="13"/>
        <v>20000</v>
      </c>
      <c r="U68" s="675">
        <f t="shared" si="13"/>
        <v>0</v>
      </c>
      <c r="V68" s="675">
        <f t="shared" si="13"/>
        <v>10000</v>
      </c>
      <c r="W68" s="675">
        <f t="shared" si="13"/>
        <v>0</v>
      </c>
      <c r="X68" s="675">
        <f t="shared" si="13"/>
        <v>54000</v>
      </c>
      <c r="Y68" s="675">
        <f t="shared" si="13"/>
        <v>0</v>
      </c>
      <c r="Z68" s="675">
        <f t="shared" si="13"/>
        <v>0</v>
      </c>
      <c r="AA68" s="675">
        <f t="shared" si="13"/>
        <v>0</v>
      </c>
      <c r="AB68" s="675">
        <f t="shared" si="13"/>
        <v>40500</v>
      </c>
      <c r="AC68" s="675">
        <f t="shared" si="13"/>
        <v>0</v>
      </c>
      <c r="AD68" s="675">
        <f t="shared" si="13"/>
        <v>0</v>
      </c>
      <c r="AE68" s="675">
        <f t="shared" si="13"/>
        <v>0</v>
      </c>
      <c r="AF68" s="675">
        <f t="shared" si="13"/>
        <v>0</v>
      </c>
      <c r="AG68" s="675">
        <f t="shared" si="13"/>
        <v>0</v>
      </c>
      <c r="AH68" s="675">
        <f t="shared" si="13"/>
        <v>0</v>
      </c>
      <c r="AI68" s="675">
        <f t="shared" si="13"/>
        <v>0</v>
      </c>
      <c r="AJ68" s="675">
        <f t="shared" si="13"/>
        <v>0</v>
      </c>
      <c r="AK68" s="675">
        <f t="shared" si="13"/>
        <v>0</v>
      </c>
      <c r="AL68" s="675">
        <f t="shared" si="13"/>
        <v>0</v>
      </c>
      <c r="AM68" s="675">
        <f t="shared" si="13"/>
        <v>0</v>
      </c>
      <c r="AN68" s="675">
        <f t="shared" si="13"/>
        <v>0</v>
      </c>
      <c r="AO68" s="675">
        <f t="shared" si="13"/>
        <v>0</v>
      </c>
      <c r="AP68" s="675">
        <f t="shared" si="13"/>
        <v>0</v>
      </c>
      <c r="AQ68" s="675">
        <f t="shared" si="13"/>
        <v>0</v>
      </c>
      <c r="AR68" s="675">
        <f t="shared" si="13"/>
        <v>0</v>
      </c>
      <c r="AS68" s="675">
        <f t="shared" si="13"/>
        <v>0</v>
      </c>
      <c r="AT68" s="675">
        <f t="shared" si="13"/>
        <v>0</v>
      </c>
      <c r="AU68" s="675">
        <f t="shared" si="13"/>
        <v>0</v>
      </c>
      <c r="AV68" s="675">
        <f t="shared" si="13"/>
        <v>0</v>
      </c>
      <c r="AW68" s="675">
        <f t="shared" si="13"/>
        <v>0</v>
      </c>
      <c r="AX68" s="675">
        <f t="shared" si="13"/>
        <v>0</v>
      </c>
      <c r="AY68" s="676">
        <f t="shared" si="13"/>
        <v>0</v>
      </c>
    </row>
    <row r="69" spans="2:51" s="15" customFormat="1" ht="13.5" outlineLevel="1" x14ac:dyDescent="0.25">
      <c r="B69" s="678" t="s">
        <v>1245</v>
      </c>
      <c r="C69" s="681" t="s">
        <v>1243</v>
      </c>
      <c r="D69" s="683">
        <v>0</v>
      </c>
      <c r="E69" s="683">
        <f t="shared" ref="E69:F69" si="14">E68+E67</f>
        <v>0</v>
      </c>
      <c r="F69" s="683">
        <f t="shared" si="14"/>
        <v>14000</v>
      </c>
      <c r="G69" s="683">
        <f>G68+G67</f>
        <v>14000</v>
      </c>
      <c r="H69" s="683">
        <f t="shared" ref="H69:AY69" si="15">H68+H67</f>
        <v>21500</v>
      </c>
      <c r="I69" s="683">
        <f t="shared" si="15"/>
        <v>0</v>
      </c>
      <c r="J69" s="683">
        <f t="shared" si="15"/>
        <v>0</v>
      </c>
      <c r="K69" s="683">
        <f t="shared" si="15"/>
        <v>40333.333333333336</v>
      </c>
      <c r="L69" s="683">
        <f t="shared" si="15"/>
        <v>40333.333333333336</v>
      </c>
      <c r="M69" s="683">
        <f t="shared" si="15"/>
        <v>40333.333333333336</v>
      </c>
      <c r="N69" s="683">
        <f t="shared" si="15"/>
        <v>118166.66666666667</v>
      </c>
      <c r="O69" s="683">
        <f t="shared" si="15"/>
        <v>40333.333333333336</v>
      </c>
      <c r="P69" s="683">
        <f t="shared" si="15"/>
        <v>40333.333333333336</v>
      </c>
      <c r="Q69" s="683">
        <f t="shared" si="15"/>
        <v>82833.333333333343</v>
      </c>
      <c r="R69" s="683">
        <f t="shared" si="15"/>
        <v>27500.000000000004</v>
      </c>
      <c r="S69" s="683">
        <f t="shared" si="15"/>
        <v>34833.333333333336</v>
      </c>
      <c r="T69" s="683">
        <f t="shared" si="15"/>
        <v>54833.333333333336</v>
      </c>
      <c r="U69" s="683">
        <f t="shared" si="15"/>
        <v>128333.33333333334</v>
      </c>
      <c r="V69" s="683">
        <f t="shared" si="15"/>
        <v>138333.33333333334</v>
      </c>
      <c r="W69" s="683">
        <f t="shared" si="15"/>
        <v>121000.00000000001</v>
      </c>
      <c r="X69" s="683">
        <f t="shared" si="15"/>
        <v>175000</v>
      </c>
      <c r="Y69" s="683">
        <f t="shared" si="15"/>
        <v>69666.666666666672</v>
      </c>
      <c r="Z69" s="683">
        <f t="shared" si="15"/>
        <v>69666.666666666672</v>
      </c>
      <c r="AA69" s="683">
        <f t="shared" si="15"/>
        <v>69666.666666666672</v>
      </c>
      <c r="AB69" s="683">
        <f t="shared" si="15"/>
        <v>110166.66666666667</v>
      </c>
      <c r="AC69" s="683">
        <f t="shared" si="15"/>
        <v>0</v>
      </c>
      <c r="AD69" s="683">
        <f t="shared" si="15"/>
        <v>0</v>
      </c>
      <c r="AE69" s="683">
        <f t="shared" si="15"/>
        <v>0</v>
      </c>
      <c r="AF69" s="683">
        <f t="shared" si="15"/>
        <v>0</v>
      </c>
      <c r="AG69" s="683">
        <f t="shared" si="15"/>
        <v>0</v>
      </c>
      <c r="AH69" s="683">
        <f t="shared" si="15"/>
        <v>0</v>
      </c>
      <c r="AI69" s="683">
        <f t="shared" si="15"/>
        <v>0</v>
      </c>
      <c r="AJ69" s="683">
        <f t="shared" si="15"/>
        <v>0</v>
      </c>
      <c r="AK69" s="683">
        <f t="shared" si="15"/>
        <v>0</v>
      </c>
      <c r="AL69" s="683">
        <f t="shared" si="15"/>
        <v>0</v>
      </c>
      <c r="AM69" s="683">
        <f t="shared" si="15"/>
        <v>0</v>
      </c>
      <c r="AN69" s="683">
        <f t="shared" si="15"/>
        <v>0</v>
      </c>
      <c r="AO69" s="683">
        <f t="shared" si="15"/>
        <v>0</v>
      </c>
      <c r="AP69" s="683">
        <f t="shared" si="15"/>
        <v>0</v>
      </c>
      <c r="AQ69" s="683">
        <f t="shared" si="15"/>
        <v>0</v>
      </c>
      <c r="AR69" s="683">
        <f t="shared" si="15"/>
        <v>0</v>
      </c>
      <c r="AS69" s="683">
        <f t="shared" si="15"/>
        <v>0</v>
      </c>
      <c r="AT69" s="683">
        <f t="shared" si="15"/>
        <v>0</v>
      </c>
      <c r="AU69" s="683">
        <f t="shared" si="15"/>
        <v>0</v>
      </c>
      <c r="AV69" s="683">
        <f t="shared" si="15"/>
        <v>0</v>
      </c>
      <c r="AW69" s="683">
        <f t="shared" si="15"/>
        <v>0</v>
      </c>
      <c r="AX69" s="683">
        <f t="shared" si="15"/>
        <v>0</v>
      </c>
      <c r="AY69" s="429">
        <f t="shared" si="15"/>
        <v>0</v>
      </c>
    </row>
    <row r="70" spans="2:51" s="15" customFormat="1" ht="13.5" outlineLevel="1" x14ac:dyDescent="0.25">
      <c r="B70" s="816" t="s">
        <v>1246</v>
      </c>
      <c r="C70" s="815" t="s">
        <v>1243</v>
      </c>
      <c r="D70" s="686">
        <v>0</v>
      </c>
      <c r="E70" s="686">
        <v>0</v>
      </c>
      <c r="F70" s="686">
        <f>F63*$K$18*365*$C$20/1000*$C$21/1000</f>
        <v>0</v>
      </c>
      <c r="G70" s="686">
        <f>G63*$K$18*365*$C$20/1000*$C$21/1000</f>
        <v>0</v>
      </c>
      <c r="H70" s="686">
        <f t="shared" ref="H70:AY70" si="16">H63*$K$18*365*$C$20/1000*$C$21/1000</f>
        <v>0</v>
      </c>
      <c r="I70" s="686">
        <f t="shared" si="16"/>
        <v>79.710515338235297</v>
      </c>
      <c r="J70" s="686">
        <f t="shared" si="16"/>
        <v>79.710515338235297</v>
      </c>
      <c r="K70" s="686">
        <f t="shared" si="16"/>
        <v>79.710515338235297</v>
      </c>
      <c r="L70" s="686">
        <f t="shared" si="16"/>
        <v>79.710515338235297</v>
      </c>
      <c r="M70" s="686">
        <f t="shared" si="16"/>
        <v>79.710515338235297</v>
      </c>
      <c r="N70" s="686">
        <f t="shared" si="16"/>
        <v>79.710515338235297</v>
      </c>
      <c r="O70" s="686">
        <f t="shared" si="16"/>
        <v>478.26309202941178</v>
      </c>
      <c r="P70" s="686">
        <f t="shared" si="16"/>
        <v>478.26309202941178</v>
      </c>
      <c r="Q70" s="686">
        <f t="shared" si="16"/>
        <v>478.26309202941178</v>
      </c>
      <c r="R70" s="686">
        <f t="shared" si="16"/>
        <v>929.95601227941188</v>
      </c>
      <c r="S70" s="686">
        <f t="shared" si="16"/>
        <v>929.95601227941188</v>
      </c>
      <c r="T70" s="686">
        <f t="shared" si="16"/>
        <v>929.95601227941188</v>
      </c>
      <c r="U70" s="686">
        <f t="shared" si="16"/>
        <v>1142.5173865147058</v>
      </c>
      <c r="V70" s="686">
        <f t="shared" si="16"/>
        <v>1142.5173865147058</v>
      </c>
      <c r="W70" s="686">
        <f t="shared" si="16"/>
        <v>1248.7980736323532</v>
      </c>
      <c r="X70" s="686">
        <f t="shared" si="16"/>
        <v>1248.7980736323532</v>
      </c>
      <c r="Y70" s="686">
        <f t="shared" si="16"/>
        <v>1822.7137840676471</v>
      </c>
      <c r="Z70" s="686">
        <f t="shared" si="16"/>
        <v>1822.7137840676471</v>
      </c>
      <c r="AA70" s="686">
        <f t="shared" si="16"/>
        <v>1822.7137840676471</v>
      </c>
      <c r="AB70" s="686">
        <f t="shared" si="16"/>
        <v>1822.7137840676471</v>
      </c>
      <c r="AC70" s="686">
        <f t="shared" si="16"/>
        <v>2253.1505668941177</v>
      </c>
      <c r="AD70" s="686">
        <f t="shared" si="16"/>
        <v>2253.1505668941177</v>
      </c>
      <c r="AE70" s="686">
        <f t="shared" si="16"/>
        <v>2253.1505668941177</v>
      </c>
      <c r="AF70" s="686">
        <f t="shared" si="16"/>
        <v>2253.1505668941177</v>
      </c>
      <c r="AG70" s="686">
        <f t="shared" si="16"/>
        <v>2253.1505668941177</v>
      </c>
      <c r="AH70" s="686">
        <f t="shared" si="16"/>
        <v>2253.1505668941177</v>
      </c>
      <c r="AI70" s="686">
        <f t="shared" si="16"/>
        <v>2253.1505668941177</v>
      </c>
      <c r="AJ70" s="686">
        <f t="shared" si="16"/>
        <v>2253.1505668941177</v>
      </c>
      <c r="AK70" s="686">
        <f t="shared" si="16"/>
        <v>2253.1505668941177</v>
      </c>
      <c r="AL70" s="686">
        <f t="shared" si="16"/>
        <v>2253.1505668941177</v>
      </c>
      <c r="AM70" s="686">
        <f t="shared" si="16"/>
        <v>2253.1505668941177</v>
      </c>
      <c r="AN70" s="686">
        <f t="shared" si="16"/>
        <v>2253.1505668941177</v>
      </c>
      <c r="AO70" s="686">
        <f t="shared" si="16"/>
        <v>2253.1505668941177</v>
      </c>
      <c r="AP70" s="686">
        <f t="shared" si="16"/>
        <v>2253.1505668941177</v>
      </c>
      <c r="AQ70" s="686">
        <f t="shared" si="16"/>
        <v>2253.1505668941177</v>
      </c>
      <c r="AR70" s="686">
        <f t="shared" si="16"/>
        <v>2253.1505668941177</v>
      </c>
      <c r="AS70" s="686">
        <f t="shared" si="16"/>
        <v>2253.1505668941177</v>
      </c>
      <c r="AT70" s="686">
        <f t="shared" si="16"/>
        <v>2253.1505668941177</v>
      </c>
      <c r="AU70" s="686">
        <f t="shared" si="16"/>
        <v>2253.1505668941177</v>
      </c>
      <c r="AV70" s="686">
        <f t="shared" si="16"/>
        <v>2253.1505668941177</v>
      </c>
      <c r="AW70" s="686">
        <f t="shared" si="16"/>
        <v>2253.1505668941177</v>
      </c>
      <c r="AX70" s="686">
        <f t="shared" si="16"/>
        <v>2253.1505668941177</v>
      </c>
      <c r="AY70" s="687">
        <f t="shared" si="16"/>
        <v>2253.1505668941177</v>
      </c>
    </row>
    <row r="71" spans="2:51" s="15" customFormat="1" ht="13.5" outlineLevel="1" x14ac:dyDescent="0.25">
      <c r="B71" s="816" t="s">
        <v>1247</v>
      </c>
      <c r="C71" s="815" t="s">
        <v>1243</v>
      </c>
      <c r="D71" s="686">
        <v>0</v>
      </c>
      <c r="E71" s="686">
        <v>0</v>
      </c>
      <c r="F71" s="686">
        <v>0</v>
      </c>
      <c r="G71" s="686">
        <f>G63*$C$25</f>
        <v>0</v>
      </c>
      <c r="H71" s="686">
        <f t="shared" ref="H71:AY71" si="17">H63*$C$25</f>
        <v>0</v>
      </c>
      <c r="I71" s="686">
        <f t="shared" si="17"/>
        <v>150</v>
      </c>
      <c r="J71" s="686">
        <f t="shared" si="17"/>
        <v>150</v>
      </c>
      <c r="K71" s="686">
        <f t="shared" si="17"/>
        <v>150</v>
      </c>
      <c r="L71" s="686">
        <f t="shared" si="17"/>
        <v>150</v>
      </c>
      <c r="M71" s="686">
        <f t="shared" si="17"/>
        <v>150</v>
      </c>
      <c r="N71" s="686">
        <f t="shared" si="17"/>
        <v>150</v>
      </c>
      <c r="O71" s="686">
        <f t="shared" si="17"/>
        <v>900</v>
      </c>
      <c r="P71" s="686">
        <f t="shared" si="17"/>
        <v>900</v>
      </c>
      <c r="Q71" s="686">
        <f t="shared" si="17"/>
        <v>900</v>
      </c>
      <c r="R71" s="686">
        <f t="shared" si="17"/>
        <v>1750</v>
      </c>
      <c r="S71" s="686">
        <f t="shared" si="17"/>
        <v>1750</v>
      </c>
      <c r="T71" s="686">
        <f t="shared" si="17"/>
        <v>1750</v>
      </c>
      <c r="U71" s="686">
        <f t="shared" si="17"/>
        <v>2150</v>
      </c>
      <c r="V71" s="686">
        <f t="shared" si="17"/>
        <v>2150</v>
      </c>
      <c r="W71" s="686">
        <f t="shared" si="17"/>
        <v>2350</v>
      </c>
      <c r="X71" s="686">
        <f t="shared" si="17"/>
        <v>2350</v>
      </c>
      <c r="Y71" s="686">
        <f t="shared" si="17"/>
        <v>3429.9999999999995</v>
      </c>
      <c r="Z71" s="686">
        <f t="shared" si="17"/>
        <v>3429.9999999999995</v>
      </c>
      <c r="AA71" s="686">
        <f t="shared" si="17"/>
        <v>3429.9999999999995</v>
      </c>
      <c r="AB71" s="686">
        <f t="shared" si="17"/>
        <v>3429.9999999999995</v>
      </c>
      <c r="AC71" s="686">
        <f t="shared" si="17"/>
        <v>4240</v>
      </c>
      <c r="AD71" s="686">
        <f t="shared" si="17"/>
        <v>4240</v>
      </c>
      <c r="AE71" s="686">
        <f t="shared" si="17"/>
        <v>4240</v>
      </c>
      <c r="AF71" s="686">
        <f t="shared" si="17"/>
        <v>4240</v>
      </c>
      <c r="AG71" s="686">
        <f t="shared" si="17"/>
        <v>4240</v>
      </c>
      <c r="AH71" s="686">
        <f t="shared" si="17"/>
        <v>4240</v>
      </c>
      <c r="AI71" s="686">
        <f t="shared" si="17"/>
        <v>4240</v>
      </c>
      <c r="AJ71" s="686">
        <f t="shared" si="17"/>
        <v>4240</v>
      </c>
      <c r="AK71" s="686">
        <f t="shared" si="17"/>
        <v>4240</v>
      </c>
      <c r="AL71" s="686">
        <f t="shared" si="17"/>
        <v>4240</v>
      </c>
      <c r="AM71" s="686">
        <f t="shared" si="17"/>
        <v>4240</v>
      </c>
      <c r="AN71" s="686">
        <f t="shared" si="17"/>
        <v>4240</v>
      </c>
      <c r="AO71" s="686">
        <f t="shared" si="17"/>
        <v>4240</v>
      </c>
      <c r="AP71" s="686">
        <f t="shared" si="17"/>
        <v>4240</v>
      </c>
      <c r="AQ71" s="686">
        <f t="shared" si="17"/>
        <v>4240</v>
      </c>
      <c r="AR71" s="686">
        <f t="shared" si="17"/>
        <v>4240</v>
      </c>
      <c r="AS71" s="686">
        <f t="shared" si="17"/>
        <v>4240</v>
      </c>
      <c r="AT71" s="686">
        <f t="shared" si="17"/>
        <v>4240</v>
      </c>
      <c r="AU71" s="686">
        <f t="shared" si="17"/>
        <v>4240</v>
      </c>
      <c r="AV71" s="686">
        <f t="shared" si="17"/>
        <v>4240</v>
      </c>
      <c r="AW71" s="686">
        <f t="shared" si="17"/>
        <v>4240</v>
      </c>
      <c r="AX71" s="686">
        <f t="shared" si="17"/>
        <v>4240</v>
      </c>
      <c r="AY71" s="687">
        <f t="shared" si="17"/>
        <v>4240</v>
      </c>
    </row>
    <row r="72" spans="2:51" s="15" customFormat="1" ht="13.5" outlineLevel="1" x14ac:dyDescent="0.25">
      <c r="B72" s="816" t="s">
        <v>1248</v>
      </c>
      <c r="C72" s="815" t="s">
        <v>1243</v>
      </c>
      <c r="D72" s="686">
        <v>0</v>
      </c>
      <c r="E72" s="686">
        <v>0</v>
      </c>
      <c r="F72" s="686">
        <v>0</v>
      </c>
      <c r="G72" s="686">
        <f>G63*$C$23*$C$24*1.338*12/1000</f>
        <v>0</v>
      </c>
      <c r="H72" s="686">
        <f t="shared" ref="H72:AX72" si="18">H63*$C$23*$C$24*1.338*12/1000</f>
        <v>0</v>
      </c>
      <c r="I72" s="686">
        <f t="shared" si="18"/>
        <v>361.26</v>
      </c>
      <c r="J72" s="686">
        <f t="shared" si="18"/>
        <v>361.26</v>
      </c>
      <c r="K72" s="686">
        <f t="shared" si="18"/>
        <v>361.26</v>
      </c>
      <c r="L72" s="686">
        <f t="shared" si="18"/>
        <v>361.26</v>
      </c>
      <c r="M72" s="686">
        <f t="shared" si="18"/>
        <v>361.26</v>
      </c>
      <c r="N72" s="686">
        <f t="shared" si="18"/>
        <v>361.26</v>
      </c>
      <c r="O72" s="686">
        <f t="shared" si="18"/>
        <v>2167.56</v>
      </c>
      <c r="P72" s="686">
        <f t="shared" si="18"/>
        <v>2167.56</v>
      </c>
      <c r="Q72" s="686">
        <f t="shared" si="18"/>
        <v>2167.56</v>
      </c>
      <c r="R72" s="686">
        <f t="shared" si="18"/>
        <v>4214.7</v>
      </c>
      <c r="S72" s="686">
        <f t="shared" si="18"/>
        <v>4214.7</v>
      </c>
      <c r="T72" s="686">
        <f t="shared" si="18"/>
        <v>4214.7</v>
      </c>
      <c r="U72" s="686">
        <f t="shared" si="18"/>
        <v>5178.0600000000004</v>
      </c>
      <c r="V72" s="686">
        <f t="shared" si="18"/>
        <v>5178.0600000000004</v>
      </c>
      <c r="W72" s="686">
        <f t="shared" si="18"/>
        <v>5659.74</v>
      </c>
      <c r="X72" s="686">
        <f t="shared" si="18"/>
        <v>5659.74</v>
      </c>
      <c r="Y72" s="686">
        <f t="shared" si="18"/>
        <v>8260.8119999999999</v>
      </c>
      <c r="Z72" s="686">
        <f t="shared" si="18"/>
        <v>8260.8119999999999</v>
      </c>
      <c r="AA72" s="686">
        <f t="shared" si="18"/>
        <v>8260.8119999999999</v>
      </c>
      <c r="AB72" s="686">
        <f t="shared" si="18"/>
        <v>8260.8119999999999</v>
      </c>
      <c r="AC72" s="686">
        <f t="shared" si="18"/>
        <v>10211.616</v>
      </c>
      <c r="AD72" s="686">
        <f t="shared" si="18"/>
        <v>10211.616</v>
      </c>
      <c r="AE72" s="686">
        <f t="shared" si="18"/>
        <v>10211.616</v>
      </c>
      <c r="AF72" s="686">
        <f t="shared" si="18"/>
        <v>10211.616</v>
      </c>
      <c r="AG72" s="686">
        <f t="shared" si="18"/>
        <v>10211.616</v>
      </c>
      <c r="AH72" s="686">
        <f t="shared" si="18"/>
        <v>10211.616</v>
      </c>
      <c r="AI72" s="686">
        <f t="shared" si="18"/>
        <v>10211.616</v>
      </c>
      <c r="AJ72" s="686">
        <f t="shared" si="18"/>
        <v>10211.616</v>
      </c>
      <c r="AK72" s="686">
        <f t="shared" si="18"/>
        <v>10211.616</v>
      </c>
      <c r="AL72" s="686">
        <f t="shared" si="18"/>
        <v>10211.616</v>
      </c>
      <c r="AM72" s="686">
        <f t="shared" si="18"/>
        <v>10211.616</v>
      </c>
      <c r="AN72" s="686">
        <f t="shared" si="18"/>
        <v>10211.616</v>
      </c>
      <c r="AO72" s="686">
        <f t="shared" si="18"/>
        <v>10211.616</v>
      </c>
      <c r="AP72" s="686">
        <f t="shared" si="18"/>
        <v>10211.616</v>
      </c>
      <c r="AQ72" s="686">
        <f t="shared" si="18"/>
        <v>10211.616</v>
      </c>
      <c r="AR72" s="686">
        <f t="shared" si="18"/>
        <v>10211.616</v>
      </c>
      <c r="AS72" s="686">
        <f t="shared" si="18"/>
        <v>10211.616</v>
      </c>
      <c r="AT72" s="686">
        <f t="shared" si="18"/>
        <v>10211.616</v>
      </c>
      <c r="AU72" s="686">
        <f t="shared" si="18"/>
        <v>10211.616</v>
      </c>
      <c r="AV72" s="686">
        <f t="shared" si="18"/>
        <v>10211.616</v>
      </c>
      <c r="AW72" s="686">
        <f t="shared" si="18"/>
        <v>10211.616</v>
      </c>
      <c r="AX72" s="686">
        <f t="shared" si="18"/>
        <v>10211.616</v>
      </c>
      <c r="AY72" s="687">
        <f>AY63*$C$23*$C$24*1.338*12/1000</f>
        <v>10211.616</v>
      </c>
    </row>
    <row r="73" spans="2:51" s="15" customFormat="1" ht="13.5" outlineLevel="1" x14ac:dyDescent="0.25">
      <c r="B73" s="689" t="s">
        <v>1249</v>
      </c>
      <c r="C73" s="693" t="s">
        <v>1243</v>
      </c>
      <c r="D73" s="710">
        <v>0</v>
      </c>
      <c r="E73" s="710">
        <v>0</v>
      </c>
      <c r="F73" s="710">
        <v>0</v>
      </c>
      <c r="G73" s="710">
        <f>SUM(G70:G72)</f>
        <v>0</v>
      </c>
      <c r="H73" s="710">
        <f t="shared" ref="H73:AY73" si="19">SUM(H70:H72)</f>
        <v>0</v>
      </c>
      <c r="I73" s="710">
        <f t="shared" si="19"/>
        <v>590.97051533823526</v>
      </c>
      <c r="J73" s="710">
        <f t="shared" si="19"/>
        <v>590.97051533823526</v>
      </c>
      <c r="K73" s="710">
        <f t="shared" si="19"/>
        <v>590.97051533823526</v>
      </c>
      <c r="L73" s="710">
        <f t="shared" si="19"/>
        <v>590.97051533823526</v>
      </c>
      <c r="M73" s="710">
        <f t="shared" si="19"/>
        <v>590.97051533823526</v>
      </c>
      <c r="N73" s="710">
        <f t="shared" si="19"/>
        <v>590.97051533823526</v>
      </c>
      <c r="O73" s="710">
        <f t="shared" si="19"/>
        <v>3545.8230920294118</v>
      </c>
      <c r="P73" s="710">
        <f t="shared" si="19"/>
        <v>3545.8230920294118</v>
      </c>
      <c r="Q73" s="710">
        <f t="shared" si="19"/>
        <v>3545.8230920294118</v>
      </c>
      <c r="R73" s="710">
        <f t="shared" si="19"/>
        <v>6894.6560122794117</v>
      </c>
      <c r="S73" s="710">
        <f t="shared" si="19"/>
        <v>6894.6560122794117</v>
      </c>
      <c r="T73" s="710">
        <f t="shared" si="19"/>
        <v>6894.6560122794117</v>
      </c>
      <c r="U73" s="710">
        <f t="shared" si="19"/>
        <v>8470.5773865147057</v>
      </c>
      <c r="V73" s="710">
        <f t="shared" si="19"/>
        <v>8470.5773865147057</v>
      </c>
      <c r="W73" s="710">
        <f t="shared" si="19"/>
        <v>9258.5380736323532</v>
      </c>
      <c r="X73" s="710">
        <f t="shared" si="19"/>
        <v>9258.5380736323532</v>
      </c>
      <c r="Y73" s="710">
        <f t="shared" si="19"/>
        <v>13513.525784067646</v>
      </c>
      <c r="Z73" s="710">
        <f t="shared" si="19"/>
        <v>13513.525784067646</v>
      </c>
      <c r="AA73" s="710">
        <f t="shared" si="19"/>
        <v>13513.525784067646</v>
      </c>
      <c r="AB73" s="710">
        <f t="shared" si="19"/>
        <v>13513.525784067646</v>
      </c>
      <c r="AC73" s="710">
        <f t="shared" si="19"/>
        <v>16704.766566894119</v>
      </c>
      <c r="AD73" s="710">
        <f t="shared" si="19"/>
        <v>16704.766566894119</v>
      </c>
      <c r="AE73" s="710">
        <f t="shared" si="19"/>
        <v>16704.766566894119</v>
      </c>
      <c r="AF73" s="710">
        <f t="shared" si="19"/>
        <v>16704.766566894119</v>
      </c>
      <c r="AG73" s="710">
        <f t="shared" si="19"/>
        <v>16704.766566894119</v>
      </c>
      <c r="AH73" s="710">
        <f t="shared" si="19"/>
        <v>16704.766566894119</v>
      </c>
      <c r="AI73" s="710">
        <f t="shared" si="19"/>
        <v>16704.766566894119</v>
      </c>
      <c r="AJ73" s="710">
        <f t="shared" si="19"/>
        <v>16704.766566894119</v>
      </c>
      <c r="AK73" s="710">
        <f t="shared" si="19"/>
        <v>16704.766566894119</v>
      </c>
      <c r="AL73" s="710">
        <f t="shared" si="19"/>
        <v>16704.766566894119</v>
      </c>
      <c r="AM73" s="710">
        <f t="shared" si="19"/>
        <v>16704.766566894119</v>
      </c>
      <c r="AN73" s="710">
        <f t="shared" si="19"/>
        <v>16704.766566894119</v>
      </c>
      <c r="AO73" s="710">
        <f t="shared" si="19"/>
        <v>16704.766566894119</v>
      </c>
      <c r="AP73" s="710">
        <f t="shared" si="19"/>
        <v>16704.766566894119</v>
      </c>
      <c r="AQ73" s="710">
        <f t="shared" si="19"/>
        <v>16704.766566894119</v>
      </c>
      <c r="AR73" s="710">
        <f t="shared" si="19"/>
        <v>16704.766566894119</v>
      </c>
      <c r="AS73" s="710">
        <f t="shared" si="19"/>
        <v>16704.766566894119</v>
      </c>
      <c r="AT73" s="710">
        <f t="shared" si="19"/>
        <v>16704.766566894119</v>
      </c>
      <c r="AU73" s="710">
        <f t="shared" si="19"/>
        <v>16704.766566894119</v>
      </c>
      <c r="AV73" s="710">
        <f t="shared" si="19"/>
        <v>16704.766566894119</v>
      </c>
      <c r="AW73" s="710">
        <f t="shared" si="19"/>
        <v>16704.766566894119</v>
      </c>
      <c r="AX73" s="710">
        <f t="shared" si="19"/>
        <v>16704.766566894119</v>
      </c>
      <c r="AY73" s="426">
        <f t="shared" si="19"/>
        <v>16704.766566894119</v>
      </c>
    </row>
    <row r="74" spans="2:51" s="15" customFormat="1" ht="13.5" outlineLevel="1" x14ac:dyDescent="0.25">
      <c r="B74" s="689" t="s">
        <v>1250</v>
      </c>
      <c r="C74" s="693" t="s">
        <v>1243</v>
      </c>
      <c r="D74" s="710">
        <v>0</v>
      </c>
      <c r="E74" s="710">
        <v>0</v>
      </c>
      <c r="F74" s="710">
        <f>-(F82*$C$26+F83*$C$27)*(1+$C$28)</f>
        <v>0</v>
      </c>
      <c r="G74" s="710">
        <f t="shared" ref="G74:AY74" si="20">-(G82*$C$26+G83*$C$27)*(1+$C$28)</f>
        <v>0</v>
      </c>
      <c r="H74" s="710">
        <f t="shared" si="20"/>
        <v>0</v>
      </c>
      <c r="I74" s="710">
        <f t="shared" si="20"/>
        <v>-232.43007137251325</v>
      </c>
      <c r="J74" s="710">
        <f t="shared" si="20"/>
        <v>-221.40856871859913</v>
      </c>
      <c r="K74" s="710">
        <f t="shared" si="20"/>
        <v>-210.69095497891084</v>
      </c>
      <c r="L74" s="710">
        <f t="shared" si="20"/>
        <v>-200.27246344577529</v>
      </c>
      <c r="M74" s="710">
        <f t="shared" si="20"/>
        <v>-190.14838519435523</v>
      </c>
      <c r="N74" s="710">
        <f t="shared" si="20"/>
        <v>-180.31406859868704</v>
      </c>
      <c r="O74" s="710">
        <f t="shared" si="20"/>
        <v>-14053.282705045673</v>
      </c>
      <c r="P74" s="710">
        <f t="shared" si="20"/>
        <v>-13737.25755107154</v>
      </c>
      <c r="Q74" s="710">
        <f t="shared" si="20"/>
        <v>-13431.743099333567</v>
      </c>
      <c r="R74" s="710">
        <f t="shared" si="20"/>
        <v>-24861.46151113604</v>
      </c>
      <c r="S74" s="710">
        <f t="shared" si="20"/>
        <v>-24321.781473909807</v>
      </c>
      <c r="T74" s="710">
        <f t="shared" si="20"/>
        <v>-23800.745733416636</v>
      </c>
      <c r="U74" s="710">
        <f t="shared" si="20"/>
        <v>-25013.08847195395</v>
      </c>
      <c r="V74" s="710">
        <f t="shared" si="20"/>
        <v>-24492.448972518792</v>
      </c>
      <c r="W74" s="710">
        <f t="shared" si="20"/>
        <v>-24247.59691641984</v>
      </c>
      <c r="X74" s="710">
        <f t="shared" si="20"/>
        <v>-23758.877731352542</v>
      </c>
      <c r="Y74" s="710">
        <f t="shared" si="20"/>
        <v>-26606.173388018517</v>
      </c>
      <c r="Z74" s="710">
        <f t="shared" si="20"/>
        <v>-26088.831997541725</v>
      </c>
      <c r="AA74" s="710">
        <f t="shared" si="20"/>
        <v>-25591.327002342336</v>
      </c>
      <c r="AB74" s="710">
        <f t="shared" si="20"/>
        <v>-25113.225626858592</v>
      </c>
      <c r="AC74" s="710">
        <f t="shared" si="20"/>
        <v>-26301.126401493591</v>
      </c>
      <c r="AD74" s="710">
        <f t="shared" si="20"/>
        <v>-26069.592652589665</v>
      </c>
      <c r="AE74" s="710">
        <f t="shared" si="20"/>
        <v>-25838.093917973289</v>
      </c>
      <c r="AF74" s="710">
        <f t="shared" si="20"/>
        <v>-25606.626382960225</v>
      </c>
      <c r="AG74" s="710">
        <f t="shared" si="20"/>
        <v>-25375.186268085796</v>
      </c>
      <c r="AH74" s="710">
        <f t="shared" si="20"/>
        <v>-25143.769828860306</v>
      </c>
      <c r="AI74" s="710">
        <f t="shared" si="20"/>
        <v>-24912.37335552591</v>
      </c>
      <c r="AJ74" s="710">
        <f t="shared" si="20"/>
        <v>-24680.993172815055</v>
      </c>
      <c r="AK74" s="710">
        <f>-(AK82*$C$26+AK83*$C$27)*(1+$C$28)</f>
        <v>-24449.625639710419</v>
      </c>
      <c r="AL74" s="710">
        <f t="shared" si="20"/>
        <v>-24218.26714920628</v>
      </c>
      <c r="AM74" s="710">
        <f t="shared" si="20"/>
        <v>-23986.914128071516</v>
      </c>
      <c r="AN74" s="710">
        <f t="shared" si="20"/>
        <v>-23755.56303661393</v>
      </c>
      <c r="AO74" s="710">
        <f t="shared" si="20"/>
        <v>-23524.210368446162</v>
      </c>
      <c r="AP74" s="710">
        <f t="shared" si="20"/>
        <v>-23292.852650252989</v>
      </c>
      <c r="AQ74" s="710">
        <f t="shared" si="20"/>
        <v>-23061.486441560141</v>
      </c>
      <c r="AR74" s="710">
        <f t="shared" si="20"/>
        <v>-22830.108334504497</v>
      </c>
      <c r="AS74" s="710">
        <f t="shared" si="20"/>
        <v>-22598.714953605799</v>
      </c>
      <c r="AT74" s="710">
        <f t="shared" si="20"/>
        <v>-22367.302955539675</v>
      </c>
      <c r="AU74" s="710">
        <f t="shared" si="20"/>
        <v>-22135.869028912261</v>
      </c>
      <c r="AV74" s="710">
        <f t="shared" si="20"/>
        <v>-21904.409894036027</v>
      </c>
      <c r="AW74" s="710">
        <f t="shared" si="20"/>
        <v>-21672.922302707157</v>
      </c>
      <c r="AX74" s="710">
        <f t="shared" si="20"/>
        <v>0</v>
      </c>
      <c r="AY74" s="426">
        <f t="shared" si="20"/>
        <v>0</v>
      </c>
    </row>
    <row r="75" spans="2:51" s="15" customFormat="1" ht="13.5" outlineLevel="1" x14ac:dyDescent="0.25">
      <c r="B75" s="678" t="s">
        <v>445</v>
      </c>
      <c r="C75" s="681" t="s">
        <v>1243</v>
      </c>
      <c r="D75" s="683">
        <f t="shared" ref="D75:F75" si="21">D74+D73+D69</f>
        <v>0</v>
      </c>
      <c r="E75" s="683">
        <f t="shared" si="21"/>
        <v>0</v>
      </c>
      <c r="F75" s="683">
        <f t="shared" si="21"/>
        <v>14000</v>
      </c>
      <c r="G75" s="683">
        <f>G74+G73+G69</f>
        <v>14000</v>
      </c>
      <c r="H75" s="683">
        <f t="shared" ref="H75:AY75" si="22">H74+H73+H69</f>
        <v>21500</v>
      </c>
      <c r="I75" s="683">
        <f>I74+I73+I69</f>
        <v>358.54044396572203</v>
      </c>
      <c r="J75" s="683">
        <f t="shared" si="22"/>
        <v>369.56194661963616</v>
      </c>
      <c r="K75" s="683">
        <f t="shared" si="22"/>
        <v>40713.612893692662</v>
      </c>
      <c r="L75" s="683">
        <f>L74+L73+L69</f>
        <v>40724.031385225797</v>
      </c>
      <c r="M75" s="683">
        <f t="shared" si="22"/>
        <v>40734.155463477218</v>
      </c>
      <c r="N75" s="683">
        <f t="shared" si="22"/>
        <v>118577.32311340622</v>
      </c>
      <c r="O75" s="683">
        <f t="shared" si="22"/>
        <v>29825.873720317075</v>
      </c>
      <c r="P75" s="683">
        <f t="shared" si="22"/>
        <v>30141.898874291208</v>
      </c>
      <c r="Q75" s="683">
        <f t="shared" si="22"/>
        <v>72947.413326029186</v>
      </c>
      <c r="R75" s="683">
        <f t="shared" si="22"/>
        <v>9533.1945011433745</v>
      </c>
      <c r="S75" s="683">
        <f t="shared" si="22"/>
        <v>17406.20787170294</v>
      </c>
      <c r="T75" s="683">
        <f t="shared" si="22"/>
        <v>37927.243612196107</v>
      </c>
      <c r="U75" s="683">
        <f t="shared" si="22"/>
        <v>111790.8222478941</v>
      </c>
      <c r="V75" s="683">
        <f t="shared" si="22"/>
        <v>122311.46174732926</v>
      </c>
      <c r="W75" s="683">
        <f t="shared" si="22"/>
        <v>106010.94115721252</v>
      </c>
      <c r="X75" s="683">
        <f t="shared" si="22"/>
        <v>160499.66034227982</v>
      </c>
      <c r="Y75" s="683">
        <f t="shared" si="22"/>
        <v>56574.019062715801</v>
      </c>
      <c r="Z75" s="683">
        <f t="shared" si="22"/>
        <v>57091.360453192596</v>
      </c>
      <c r="AA75" s="683">
        <f t="shared" si="22"/>
        <v>57588.865448391982</v>
      </c>
      <c r="AB75" s="683">
        <f t="shared" si="22"/>
        <v>98566.966823875729</v>
      </c>
      <c r="AC75" s="683">
        <f t="shared" si="22"/>
        <v>-9596.3598345994724</v>
      </c>
      <c r="AD75" s="683">
        <f t="shared" si="22"/>
        <v>-9364.8260856955458</v>
      </c>
      <c r="AE75" s="683">
        <f t="shared" si="22"/>
        <v>-9133.3273510791696</v>
      </c>
      <c r="AF75" s="683">
        <f t="shared" si="22"/>
        <v>-8901.8598160661059</v>
      </c>
      <c r="AG75" s="683">
        <f t="shared" si="22"/>
        <v>-8670.4197011916767</v>
      </c>
      <c r="AH75" s="683">
        <f t="shared" si="22"/>
        <v>-8439.003261966187</v>
      </c>
      <c r="AI75" s="683">
        <f t="shared" si="22"/>
        <v>-8207.6067886317906</v>
      </c>
      <c r="AJ75" s="683">
        <f t="shared" si="22"/>
        <v>-7976.226605920936</v>
      </c>
      <c r="AK75" s="683">
        <f t="shared" si="22"/>
        <v>-7744.8590728162999</v>
      </c>
      <c r="AL75" s="683">
        <f t="shared" si="22"/>
        <v>-7513.500582312161</v>
      </c>
      <c r="AM75" s="683">
        <f t="shared" si="22"/>
        <v>-7282.1475611773967</v>
      </c>
      <c r="AN75" s="683">
        <f t="shared" si="22"/>
        <v>-7050.7964697198113</v>
      </c>
      <c r="AO75" s="683">
        <f t="shared" si="22"/>
        <v>-6819.4438015520427</v>
      </c>
      <c r="AP75" s="683">
        <f t="shared" si="22"/>
        <v>-6588.0860833588704</v>
      </c>
      <c r="AQ75" s="683">
        <f t="shared" si="22"/>
        <v>-6356.7198746660215</v>
      </c>
      <c r="AR75" s="683">
        <f t="shared" si="22"/>
        <v>-6125.3417676103782</v>
      </c>
      <c r="AS75" s="683">
        <f t="shared" si="22"/>
        <v>-5893.9483867116796</v>
      </c>
      <c r="AT75" s="683">
        <f t="shared" si="22"/>
        <v>-5662.5363886455561</v>
      </c>
      <c r="AU75" s="683">
        <f t="shared" si="22"/>
        <v>-5431.1024620181415</v>
      </c>
      <c r="AV75" s="683">
        <f t="shared" si="22"/>
        <v>-5199.6433271419082</v>
      </c>
      <c r="AW75" s="683">
        <f t="shared" si="22"/>
        <v>-4968.1557358130376</v>
      </c>
      <c r="AX75" s="683">
        <f t="shared" si="22"/>
        <v>16704.766566894119</v>
      </c>
      <c r="AY75" s="429">
        <f t="shared" si="22"/>
        <v>16704.766566894119</v>
      </c>
    </row>
    <row r="76" spans="2:51" s="15" customFormat="1" ht="13.5" outlineLevel="1" x14ac:dyDescent="0.25">
      <c r="B76" s="671" t="s">
        <v>1251</v>
      </c>
      <c r="C76" s="679" t="s">
        <v>1243</v>
      </c>
      <c r="D76" s="682">
        <f t="shared" ref="D76:F76" si="23">D69+D73</f>
        <v>0</v>
      </c>
      <c r="E76" s="682">
        <f t="shared" si="23"/>
        <v>0</v>
      </c>
      <c r="F76" s="682">
        <f t="shared" si="23"/>
        <v>14000</v>
      </c>
      <c r="G76" s="682">
        <f>G69+G73</f>
        <v>14000</v>
      </c>
      <c r="H76" s="682">
        <f t="shared" ref="H76:AY76" si="24">H69+H73</f>
        <v>21500</v>
      </c>
      <c r="I76" s="682">
        <f>I69+I73</f>
        <v>590.97051533823526</v>
      </c>
      <c r="J76" s="682">
        <f t="shared" si="24"/>
        <v>590.97051533823526</v>
      </c>
      <c r="K76" s="682">
        <f t="shared" si="24"/>
        <v>40924.303848671574</v>
      </c>
      <c r="L76" s="682">
        <f t="shared" si="24"/>
        <v>40924.303848671574</v>
      </c>
      <c r="M76" s="682">
        <f t="shared" si="24"/>
        <v>40924.303848671574</v>
      </c>
      <c r="N76" s="682">
        <f t="shared" si="24"/>
        <v>118757.63718200491</v>
      </c>
      <c r="O76" s="682">
        <f t="shared" si="24"/>
        <v>43879.156425362744</v>
      </c>
      <c r="P76" s="682">
        <f t="shared" si="24"/>
        <v>43879.156425362744</v>
      </c>
      <c r="Q76" s="682">
        <f t="shared" si="24"/>
        <v>86379.156425362758</v>
      </c>
      <c r="R76" s="682">
        <f t="shared" si="24"/>
        <v>34394.656012279418</v>
      </c>
      <c r="S76" s="682">
        <f t="shared" si="24"/>
        <v>41727.989345612747</v>
      </c>
      <c r="T76" s="682">
        <f t="shared" si="24"/>
        <v>61727.989345612747</v>
      </c>
      <c r="U76" s="682">
        <f t="shared" si="24"/>
        <v>136803.91071984806</v>
      </c>
      <c r="V76" s="682">
        <f t="shared" si="24"/>
        <v>146803.91071984806</v>
      </c>
      <c r="W76" s="682">
        <f t="shared" si="24"/>
        <v>130258.53807363237</v>
      </c>
      <c r="X76" s="682">
        <f t="shared" si="24"/>
        <v>184258.53807363234</v>
      </c>
      <c r="Y76" s="682">
        <f t="shared" si="24"/>
        <v>83180.192450734321</v>
      </c>
      <c r="Z76" s="682">
        <f t="shared" si="24"/>
        <v>83180.192450734321</v>
      </c>
      <c r="AA76" s="682">
        <f t="shared" si="24"/>
        <v>83180.192450734321</v>
      </c>
      <c r="AB76" s="682">
        <f t="shared" si="24"/>
        <v>123680.19245073432</v>
      </c>
      <c r="AC76" s="682">
        <f t="shared" si="24"/>
        <v>16704.766566894119</v>
      </c>
      <c r="AD76" s="682">
        <f t="shared" si="24"/>
        <v>16704.766566894119</v>
      </c>
      <c r="AE76" s="682">
        <f t="shared" si="24"/>
        <v>16704.766566894119</v>
      </c>
      <c r="AF76" s="682">
        <f t="shared" si="24"/>
        <v>16704.766566894119</v>
      </c>
      <c r="AG76" s="682">
        <f t="shared" si="24"/>
        <v>16704.766566894119</v>
      </c>
      <c r="AH76" s="682">
        <f t="shared" si="24"/>
        <v>16704.766566894119</v>
      </c>
      <c r="AI76" s="682">
        <f t="shared" si="24"/>
        <v>16704.766566894119</v>
      </c>
      <c r="AJ76" s="682">
        <f t="shared" si="24"/>
        <v>16704.766566894119</v>
      </c>
      <c r="AK76" s="682">
        <f t="shared" si="24"/>
        <v>16704.766566894119</v>
      </c>
      <c r="AL76" s="682">
        <f t="shared" si="24"/>
        <v>16704.766566894119</v>
      </c>
      <c r="AM76" s="682">
        <f t="shared" si="24"/>
        <v>16704.766566894119</v>
      </c>
      <c r="AN76" s="682">
        <f t="shared" si="24"/>
        <v>16704.766566894119</v>
      </c>
      <c r="AO76" s="682">
        <f t="shared" si="24"/>
        <v>16704.766566894119</v>
      </c>
      <c r="AP76" s="682">
        <f t="shared" si="24"/>
        <v>16704.766566894119</v>
      </c>
      <c r="AQ76" s="682">
        <f t="shared" si="24"/>
        <v>16704.766566894119</v>
      </c>
      <c r="AR76" s="682">
        <f t="shared" si="24"/>
        <v>16704.766566894119</v>
      </c>
      <c r="AS76" s="682">
        <f t="shared" si="24"/>
        <v>16704.766566894119</v>
      </c>
      <c r="AT76" s="682">
        <f t="shared" si="24"/>
        <v>16704.766566894119</v>
      </c>
      <c r="AU76" s="682">
        <f t="shared" si="24"/>
        <v>16704.766566894119</v>
      </c>
      <c r="AV76" s="682">
        <f t="shared" si="24"/>
        <v>16704.766566894119</v>
      </c>
      <c r="AW76" s="682">
        <f t="shared" si="24"/>
        <v>16704.766566894119</v>
      </c>
      <c r="AX76" s="682">
        <f t="shared" si="24"/>
        <v>16704.766566894119</v>
      </c>
      <c r="AY76" s="428">
        <f t="shared" si="24"/>
        <v>16704.766566894119</v>
      </c>
    </row>
    <row r="77" spans="2:51" s="39" customFormat="1" ht="16.5" customHeight="1" outlineLevel="1" x14ac:dyDescent="0.25">
      <c r="B77" s="689" t="s">
        <v>1252</v>
      </c>
      <c r="C77" s="693" t="s">
        <v>1243</v>
      </c>
      <c r="D77" s="710">
        <f t="shared" ref="D77:F77" si="25">D73+D69</f>
        <v>0</v>
      </c>
      <c r="E77" s="710">
        <f t="shared" si="25"/>
        <v>0</v>
      </c>
      <c r="F77" s="710">
        <f t="shared" si="25"/>
        <v>14000</v>
      </c>
      <c r="G77" s="710">
        <f>G73+G69</f>
        <v>14000</v>
      </c>
      <c r="H77" s="710">
        <f t="shared" ref="H77:AY77" si="26">H73+H69</f>
        <v>21500</v>
      </c>
      <c r="I77" s="710">
        <f t="shared" si="26"/>
        <v>590.97051533823526</v>
      </c>
      <c r="J77" s="710">
        <f t="shared" si="26"/>
        <v>590.97051533823526</v>
      </c>
      <c r="K77" s="710">
        <f t="shared" si="26"/>
        <v>40924.303848671574</v>
      </c>
      <c r="L77" s="710">
        <f t="shared" si="26"/>
        <v>40924.303848671574</v>
      </c>
      <c r="M77" s="710">
        <f t="shared" si="26"/>
        <v>40924.303848671574</v>
      </c>
      <c r="N77" s="710">
        <f t="shared" si="26"/>
        <v>118757.63718200491</v>
      </c>
      <c r="O77" s="710">
        <f t="shared" si="26"/>
        <v>43879.156425362744</v>
      </c>
      <c r="P77" s="710">
        <f t="shared" si="26"/>
        <v>43879.156425362744</v>
      </c>
      <c r="Q77" s="710">
        <f t="shared" si="26"/>
        <v>86379.156425362758</v>
      </c>
      <c r="R77" s="710">
        <f t="shared" si="26"/>
        <v>34394.656012279418</v>
      </c>
      <c r="S77" s="710">
        <f t="shared" si="26"/>
        <v>41727.989345612747</v>
      </c>
      <c r="T77" s="710">
        <f t="shared" si="26"/>
        <v>61727.989345612747</v>
      </c>
      <c r="U77" s="710">
        <f t="shared" si="26"/>
        <v>136803.91071984806</v>
      </c>
      <c r="V77" s="710">
        <f t="shared" si="26"/>
        <v>146803.91071984806</v>
      </c>
      <c r="W77" s="710">
        <f t="shared" si="26"/>
        <v>130258.53807363237</v>
      </c>
      <c r="X77" s="710">
        <f t="shared" si="26"/>
        <v>184258.53807363234</v>
      </c>
      <c r="Y77" s="710">
        <f t="shared" si="26"/>
        <v>83180.192450734321</v>
      </c>
      <c r="Z77" s="710">
        <f t="shared" si="26"/>
        <v>83180.192450734321</v>
      </c>
      <c r="AA77" s="710">
        <f t="shared" si="26"/>
        <v>83180.192450734321</v>
      </c>
      <c r="AB77" s="710">
        <f t="shared" si="26"/>
        <v>123680.19245073432</v>
      </c>
      <c r="AC77" s="710">
        <f t="shared" si="26"/>
        <v>16704.766566894119</v>
      </c>
      <c r="AD77" s="710">
        <f t="shared" si="26"/>
        <v>16704.766566894119</v>
      </c>
      <c r="AE77" s="710">
        <f t="shared" si="26"/>
        <v>16704.766566894119</v>
      </c>
      <c r="AF77" s="710">
        <f t="shared" si="26"/>
        <v>16704.766566894119</v>
      </c>
      <c r="AG77" s="710">
        <f t="shared" si="26"/>
        <v>16704.766566894119</v>
      </c>
      <c r="AH77" s="710">
        <f t="shared" si="26"/>
        <v>16704.766566894119</v>
      </c>
      <c r="AI77" s="710">
        <f t="shared" si="26"/>
        <v>16704.766566894119</v>
      </c>
      <c r="AJ77" s="710">
        <f t="shared" si="26"/>
        <v>16704.766566894119</v>
      </c>
      <c r="AK77" s="710">
        <f t="shared" si="26"/>
        <v>16704.766566894119</v>
      </c>
      <c r="AL77" s="710">
        <f t="shared" si="26"/>
        <v>16704.766566894119</v>
      </c>
      <c r="AM77" s="710">
        <f t="shared" si="26"/>
        <v>16704.766566894119</v>
      </c>
      <c r="AN77" s="710">
        <f t="shared" si="26"/>
        <v>16704.766566894119</v>
      </c>
      <c r="AO77" s="710">
        <f t="shared" si="26"/>
        <v>16704.766566894119</v>
      </c>
      <c r="AP77" s="710">
        <f t="shared" si="26"/>
        <v>16704.766566894119</v>
      </c>
      <c r="AQ77" s="710">
        <f t="shared" si="26"/>
        <v>16704.766566894119</v>
      </c>
      <c r="AR77" s="710">
        <f t="shared" si="26"/>
        <v>16704.766566894119</v>
      </c>
      <c r="AS77" s="710">
        <f t="shared" si="26"/>
        <v>16704.766566894119</v>
      </c>
      <c r="AT77" s="710">
        <f t="shared" si="26"/>
        <v>16704.766566894119</v>
      </c>
      <c r="AU77" s="710">
        <f t="shared" si="26"/>
        <v>16704.766566894119</v>
      </c>
      <c r="AV77" s="710">
        <f t="shared" si="26"/>
        <v>16704.766566894119</v>
      </c>
      <c r="AW77" s="710">
        <f t="shared" si="26"/>
        <v>16704.766566894119</v>
      </c>
      <c r="AX77" s="710">
        <f t="shared" si="26"/>
        <v>16704.766566894119</v>
      </c>
      <c r="AY77" s="426">
        <f t="shared" si="26"/>
        <v>16704.766566894119</v>
      </c>
    </row>
    <row r="78" spans="2:51" outlineLevel="1" x14ac:dyDescent="0.25">
      <c r="B78" s="715" t="s">
        <v>1253</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c r="Z78" s="433"/>
      <c r="AA78" s="433"/>
      <c r="AB78" s="433"/>
      <c r="AC78" s="433"/>
      <c r="AD78" s="433"/>
      <c r="AE78" s="433"/>
      <c r="AF78" s="433"/>
      <c r="AG78" s="433"/>
      <c r="AH78" s="433"/>
      <c r="AI78" s="433"/>
      <c r="AJ78" s="433"/>
      <c r="AK78" s="433"/>
      <c r="AL78" s="433"/>
      <c r="AM78" s="433"/>
      <c r="AN78" s="433"/>
      <c r="AO78" s="433"/>
      <c r="AP78" s="433"/>
      <c r="AQ78" s="433"/>
      <c r="AR78" s="433"/>
      <c r="AS78" s="433"/>
      <c r="AT78" s="433"/>
      <c r="AU78" s="433"/>
      <c r="AV78" s="433"/>
      <c r="AW78" s="433"/>
      <c r="AX78" s="433"/>
      <c r="AY78" s="502"/>
    </row>
    <row r="79" spans="2:51" s="15" customFormat="1" ht="13.5" outlineLevel="1" x14ac:dyDescent="0.25">
      <c r="B79" s="817" t="s">
        <v>1254</v>
      </c>
      <c r="C79" s="818" t="s">
        <v>659</v>
      </c>
      <c r="D79" s="675">
        <v>0</v>
      </c>
      <c r="E79" s="675">
        <v>0</v>
      </c>
      <c r="F79" s="675">
        <v>0</v>
      </c>
      <c r="G79" s="675">
        <f>G63*$K$18*365*$C$20/1000</f>
        <v>0</v>
      </c>
      <c r="H79" s="675">
        <f t="shared" ref="H79:AY79" si="27">H63*$K$18*365*$C$20/1000</f>
        <v>0</v>
      </c>
      <c r="I79" s="675">
        <f t="shared" si="27"/>
        <v>613.15781029411767</v>
      </c>
      <c r="J79" s="675">
        <f t="shared" si="27"/>
        <v>613.15781029411767</v>
      </c>
      <c r="K79" s="675">
        <f t="shared" si="27"/>
        <v>613.15781029411767</v>
      </c>
      <c r="L79" s="675">
        <f t="shared" si="27"/>
        <v>613.15781029411767</v>
      </c>
      <c r="M79" s="675">
        <f t="shared" si="27"/>
        <v>613.15781029411767</v>
      </c>
      <c r="N79" s="675">
        <f t="shared" si="27"/>
        <v>613.15781029411767</v>
      </c>
      <c r="O79" s="675">
        <f t="shared" si="27"/>
        <v>3678.9468617647058</v>
      </c>
      <c r="P79" s="675">
        <f t="shared" si="27"/>
        <v>3678.9468617647058</v>
      </c>
      <c r="Q79" s="675">
        <f t="shared" si="27"/>
        <v>3678.9468617647058</v>
      </c>
      <c r="R79" s="675">
        <f t="shared" si="27"/>
        <v>7153.5077867647069</v>
      </c>
      <c r="S79" s="675">
        <f t="shared" si="27"/>
        <v>7153.5077867647069</v>
      </c>
      <c r="T79" s="675">
        <f t="shared" si="27"/>
        <v>7153.5077867647069</v>
      </c>
      <c r="U79" s="675">
        <f t="shared" si="27"/>
        <v>8788.5952808823531</v>
      </c>
      <c r="V79" s="675">
        <f t="shared" si="27"/>
        <v>8788.5952808823531</v>
      </c>
      <c r="W79" s="675">
        <f t="shared" si="27"/>
        <v>9606.1390279411789</v>
      </c>
      <c r="X79" s="675">
        <f t="shared" si="27"/>
        <v>9606.1390279411789</v>
      </c>
      <c r="Y79" s="675">
        <f t="shared" si="27"/>
        <v>14020.875262058824</v>
      </c>
      <c r="Z79" s="675">
        <f t="shared" si="27"/>
        <v>14020.875262058824</v>
      </c>
      <c r="AA79" s="675">
        <f t="shared" si="27"/>
        <v>14020.875262058824</v>
      </c>
      <c r="AB79" s="675">
        <f t="shared" si="27"/>
        <v>14020.875262058824</v>
      </c>
      <c r="AC79" s="675">
        <f t="shared" si="27"/>
        <v>17331.92743764706</v>
      </c>
      <c r="AD79" s="675">
        <f t="shared" si="27"/>
        <v>17331.92743764706</v>
      </c>
      <c r="AE79" s="675">
        <f t="shared" si="27"/>
        <v>17331.92743764706</v>
      </c>
      <c r="AF79" s="675">
        <f t="shared" si="27"/>
        <v>17331.92743764706</v>
      </c>
      <c r="AG79" s="675">
        <f t="shared" si="27"/>
        <v>17331.92743764706</v>
      </c>
      <c r="AH79" s="675">
        <f t="shared" si="27"/>
        <v>17331.92743764706</v>
      </c>
      <c r="AI79" s="675">
        <f t="shared" si="27"/>
        <v>17331.92743764706</v>
      </c>
      <c r="AJ79" s="675">
        <f t="shared" si="27"/>
        <v>17331.92743764706</v>
      </c>
      <c r="AK79" s="675">
        <f t="shared" si="27"/>
        <v>17331.92743764706</v>
      </c>
      <c r="AL79" s="675">
        <f t="shared" si="27"/>
        <v>17331.92743764706</v>
      </c>
      <c r="AM79" s="675">
        <f t="shared" si="27"/>
        <v>17331.92743764706</v>
      </c>
      <c r="AN79" s="675">
        <f t="shared" si="27"/>
        <v>17331.92743764706</v>
      </c>
      <c r="AO79" s="675">
        <f t="shared" si="27"/>
        <v>17331.92743764706</v>
      </c>
      <c r="AP79" s="675">
        <f t="shared" si="27"/>
        <v>17331.92743764706</v>
      </c>
      <c r="AQ79" s="675">
        <f t="shared" si="27"/>
        <v>17331.92743764706</v>
      </c>
      <c r="AR79" s="675">
        <f t="shared" si="27"/>
        <v>17331.92743764706</v>
      </c>
      <c r="AS79" s="675">
        <f t="shared" si="27"/>
        <v>17331.92743764706</v>
      </c>
      <c r="AT79" s="675">
        <f t="shared" si="27"/>
        <v>17331.92743764706</v>
      </c>
      <c r="AU79" s="675">
        <f t="shared" si="27"/>
        <v>17331.92743764706</v>
      </c>
      <c r="AV79" s="675">
        <f t="shared" si="27"/>
        <v>17331.92743764706</v>
      </c>
      <c r="AW79" s="675">
        <f t="shared" si="27"/>
        <v>17331.92743764706</v>
      </c>
      <c r="AX79" s="675">
        <f t="shared" si="27"/>
        <v>17331.92743764706</v>
      </c>
      <c r="AY79" s="676">
        <f t="shared" si="27"/>
        <v>17331.92743764706</v>
      </c>
    </row>
    <row r="80" spans="2:51" s="15" customFormat="1" ht="13.5" outlineLevel="1" x14ac:dyDescent="0.25">
      <c r="B80" s="817" t="s">
        <v>1255</v>
      </c>
      <c r="C80" s="818" t="s">
        <v>657</v>
      </c>
      <c r="D80" s="675">
        <f t="shared" ref="D80:N80" si="28">(IF(D54&gt;$D$11,$L$11*$E$11,0)+IF(D54&gt;$D$12,$L$12*$E$12,0)+IF(D54&gt;$D$13,$L$13*$E$13,0)+IF(D54&gt;$D$14,$L$14*$E$14,0)+IF(D54&gt;$D$15,$L$15*$E$15,0)+IF(D54&gt;$D$16,$L$16*$E$16,0)+IF(D54&gt;$D$17,$L$17*$E$17,0))*$C$30/$C$31*$C$33*$C$32/1000*365</f>
        <v>0</v>
      </c>
      <c r="E80" s="675">
        <f t="shared" si="28"/>
        <v>0</v>
      </c>
      <c r="F80" s="675">
        <f t="shared" si="28"/>
        <v>0</v>
      </c>
      <c r="G80" s="675">
        <f t="shared" si="28"/>
        <v>0</v>
      </c>
      <c r="H80" s="675">
        <f t="shared" si="28"/>
        <v>0</v>
      </c>
      <c r="I80" s="675">
        <f t="shared" si="28"/>
        <v>1960.6320598006648</v>
      </c>
      <c r="J80" s="675">
        <f t="shared" si="28"/>
        <v>1960.6320598006648</v>
      </c>
      <c r="K80" s="675">
        <f t="shared" si="28"/>
        <v>1960.6320598006648</v>
      </c>
      <c r="L80" s="675">
        <f t="shared" si="28"/>
        <v>1960.6320598006648</v>
      </c>
      <c r="M80" s="675">
        <f t="shared" si="28"/>
        <v>1960.6320598006648</v>
      </c>
      <c r="N80" s="675">
        <f t="shared" si="28"/>
        <v>1960.6320598006648</v>
      </c>
      <c r="O80" s="675">
        <f>(IF(O54&gt;$D$11,$L$11*$E$11,0)+IF(O54&gt;$D$12,$L$12*$E$12,0)+IF(O54&gt;$D$13,$L$13*$E$13,0)+IF(O54&gt;$D$14,$L$14*$E$14,0)+IF(O54&gt;$D$15,$L$15*$E$15,0)+IF(O54&gt;$D$16,$L$16*$E$16,0)+IF(O54&gt;$D$17,$L$17*$E$17,0))*$C$30/$C$31*$C$33*$C$32/1000*365</f>
        <v>156360.40676910299</v>
      </c>
      <c r="P80" s="675">
        <f t="shared" ref="P80:AY80" si="29">(IF(P54&gt;$D$11,$L$11*$E$11,0)+IF(P54&gt;$D$12,$L$12*$E$12,0)+IF(P54&gt;$D$13,$L$13*$E$13,0)+IF(P54&gt;$D$14,$L$14*$E$14,0)+IF(P54&gt;$D$15,$L$15*$E$15,0)+IF(P54&gt;$D$16,$L$16*$E$16,0)+IF(P54&gt;$D$17,$L$17*$E$17,0))*$C$30/$C$31*$C$33*$C$32/1000*365</f>
        <v>156360.40676910299</v>
      </c>
      <c r="Q80" s="675">
        <f t="shared" si="29"/>
        <v>156360.40676910299</v>
      </c>
      <c r="R80" s="675">
        <f t="shared" si="29"/>
        <v>295919.28602574754</v>
      </c>
      <c r="S80" s="675">
        <f t="shared" si="29"/>
        <v>295919.28602574754</v>
      </c>
      <c r="T80" s="675">
        <f t="shared" si="29"/>
        <v>295919.28602574754</v>
      </c>
      <c r="U80" s="675">
        <f t="shared" si="29"/>
        <v>317704.08669019939</v>
      </c>
      <c r="V80" s="675">
        <f t="shared" si="29"/>
        <v>317704.08669019939</v>
      </c>
      <c r="W80" s="675">
        <f t="shared" si="29"/>
        <v>321107.96179401997</v>
      </c>
      <c r="X80" s="675">
        <f t="shared" si="29"/>
        <v>321107.96179401997</v>
      </c>
      <c r="Y80" s="675">
        <f t="shared" si="29"/>
        <v>366856.04318936879</v>
      </c>
      <c r="Z80" s="675">
        <f t="shared" si="29"/>
        <v>366856.04318936879</v>
      </c>
      <c r="AA80" s="675">
        <f t="shared" si="29"/>
        <v>366856.04318936879</v>
      </c>
      <c r="AB80" s="675">
        <f t="shared" si="29"/>
        <v>366856.04318936879</v>
      </c>
      <c r="AC80" s="675">
        <f t="shared" si="29"/>
        <v>391363.94393687719</v>
      </c>
      <c r="AD80" s="675">
        <f t="shared" si="29"/>
        <v>391363.94393687719</v>
      </c>
      <c r="AE80" s="675">
        <f t="shared" si="29"/>
        <v>391363.94393687719</v>
      </c>
      <c r="AF80" s="675">
        <f t="shared" si="29"/>
        <v>391363.94393687719</v>
      </c>
      <c r="AG80" s="675">
        <f t="shared" si="29"/>
        <v>391363.94393687719</v>
      </c>
      <c r="AH80" s="675">
        <f t="shared" si="29"/>
        <v>391363.94393687719</v>
      </c>
      <c r="AI80" s="675">
        <f t="shared" si="29"/>
        <v>391363.94393687719</v>
      </c>
      <c r="AJ80" s="675">
        <f t="shared" si="29"/>
        <v>391363.94393687719</v>
      </c>
      <c r="AK80" s="675">
        <f t="shared" si="29"/>
        <v>391363.94393687719</v>
      </c>
      <c r="AL80" s="675">
        <f t="shared" si="29"/>
        <v>391363.94393687719</v>
      </c>
      <c r="AM80" s="675">
        <f t="shared" si="29"/>
        <v>391363.94393687719</v>
      </c>
      <c r="AN80" s="675">
        <f t="shared" si="29"/>
        <v>391363.94393687719</v>
      </c>
      <c r="AO80" s="675">
        <f t="shared" si="29"/>
        <v>391363.94393687719</v>
      </c>
      <c r="AP80" s="675">
        <f t="shared" si="29"/>
        <v>391363.94393687719</v>
      </c>
      <c r="AQ80" s="675">
        <f t="shared" si="29"/>
        <v>391363.94393687719</v>
      </c>
      <c r="AR80" s="675">
        <f t="shared" si="29"/>
        <v>391363.94393687719</v>
      </c>
      <c r="AS80" s="675">
        <f t="shared" si="29"/>
        <v>391363.94393687719</v>
      </c>
      <c r="AT80" s="675">
        <f t="shared" si="29"/>
        <v>391363.94393687719</v>
      </c>
      <c r="AU80" s="675">
        <f t="shared" si="29"/>
        <v>391363.94393687719</v>
      </c>
      <c r="AV80" s="675">
        <f t="shared" si="29"/>
        <v>391363.94393687719</v>
      </c>
      <c r="AW80" s="675">
        <f t="shared" si="29"/>
        <v>391363.94393687719</v>
      </c>
      <c r="AX80" s="675">
        <f t="shared" si="29"/>
        <v>391363.94393687719</v>
      </c>
      <c r="AY80" s="676">
        <f t="shared" si="29"/>
        <v>391363.94393687719</v>
      </c>
    </row>
    <row r="81" spans="2:51" s="15" customFormat="1" ht="13.5" outlineLevel="1" x14ac:dyDescent="0.25">
      <c r="B81" s="817" t="s">
        <v>1256</v>
      </c>
      <c r="C81" s="818" t="s">
        <v>1257</v>
      </c>
      <c r="D81" s="677">
        <f>D80/$C$33/1000*$C$31</f>
        <v>0</v>
      </c>
      <c r="E81" s="677">
        <f t="shared" ref="E81:AY81" si="30">E80/$C$33/1000*$C$31</f>
        <v>0</v>
      </c>
      <c r="F81" s="677">
        <f t="shared" si="30"/>
        <v>0</v>
      </c>
      <c r="G81" s="677">
        <f t="shared" si="30"/>
        <v>0</v>
      </c>
      <c r="H81" s="677">
        <f t="shared" si="30"/>
        <v>0</v>
      </c>
      <c r="I81" s="677">
        <f t="shared" si="30"/>
        <v>0.32850000000000007</v>
      </c>
      <c r="J81" s="677">
        <f t="shared" si="30"/>
        <v>0.32850000000000007</v>
      </c>
      <c r="K81" s="677">
        <f t="shared" si="30"/>
        <v>0.32850000000000007</v>
      </c>
      <c r="L81" s="677">
        <f t="shared" si="30"/>
        <v>0.32850000000000007</v>
      </c>
      <c r="M81" s="677">
        <f t="shared" si="30"/>
        <v>0.32850000000000007</v>
      </c>
      <c r="N81" s="677">
        <f t="shared" si="30"/>
        <v>0.32850000000000007</v>
      </c>
      <c r="O81" s="677">
        <f t="shared" si="30"/>
        <v>26.197875</v>
      </c>
      <c r="P81" s="677">
        <f t="shared" si="30"/>
        <v>26.197875</v>
      </c>
      <c r="Q81" s="677">
        <f t="shared" si="30"/>
        <v>26.197875</v>
      </c>
      <c r="R81" s="677">
        <f t="shared" si="30"/>
        <v>49.580687500000003</v>
      </c>
      <c r="S81" s="677">
        <f t="shared" si="30"/>
        <v>49.580687500000003</v>
      </c>
      <c r="T81" s="677">
        <f t="shared" si="30"/>
        <v>49.580687500000003</v>
      </c>
      <c r="U81" s="677">
        <f t="shared" si="30"/>
        <v>53.230687499999995</v>
      </c>
      <c r="V81" s="677">
        <f t="shared" si="30"/>
        <v>53.230687499999995</v>
      </c>
      <c r="W81" s="677">
        <f t="shared" si="30"/>
        <v>53.801000000000002</v>
      </c>
      <c r="X81" s="677">
        <f t="shared" si="30"/>
        <v>53.801000000000002</v>
      </c>
      <c r="Y81" s="677">
        <f t="shared" si="30"/>
        <v>61.466000000000001</v>
      </c>
      <c r="Z81" s="677">
        <f t="shared" si="30"/>
        <v>61.466000000000001</v>
      </c>
      <c r="AA81" s="677">
        <f t="shared" si="30"/>
        <v>61.466000000000001</v>
      </c>
      <c r="AB81" s="677">
        <f t="shared" si="30"/>
        <v>61.466000000000001</v>
      </c>
      <c r="AC81" s="677">
        <f t="shared" si="30"/>
        <v>65.572250000000011</v>
      </c>
      <c r="AD81" s="677">
        <f t="shared" si="30"/>
        <v>65.572250000000011</v>
      </c>
      <c r="AE81" s="677">
        <f t="shared" si="30"/>
        <v>65.572250000000011</v>
      </c>
      <c r="AF81" s="677">
        <f t="shared" si="30"/>
        <v>65.572250000000011</v>
      </c>
      <c r="AG81" s="677">
        <f t="shared" si="30"/>
        <v>65.572250000000011</v>
      </c>
      <c r="AH81" s="677">
        <f t="shared" si="30"/>
        <v>65.572250000000011</v>
      </c>
      <c r="AI81" s="677">
        <f t="shared" si="30"/>
        <v>65.572250000000011</v>
      </c>
      <c r="AJ81" s="677">
        <f t="shared" si="30"/>
        <v>65.572250000000011</v>
      </c>
      <c r="AK81" s="677">
        <f t="shared" si="30"/>
        <v>65.572250000000011</v>
      </c>
      <c r="AL81" s="677">
        <f t="shared" si="30"/>
        <v>65.572250000000011</v>
      </c>
      <c r="AM81" s="677">
        <f t="shared" si="30"/>
        <v>65.572250000000011</v>
      </c>
      <c r="AN81" s="677">
        <f t="shared" si="30"/>
        <v>65.572250000000011</v>
      </c>
      <c r="AO81" s="677">
        <f t="shared" si="30"/>
        <v>65.572250000000011</v>
      </c>
      <c r="AP81" s="677">
        <f t="shared" si="30"/>
        <v>65.572250000000011</v>
      </c>
      <c r="AQ81" s="677">
        <f t="shared" si="30"/>
        <v>65.572250000000011</v>
      </c>
      <c r="AR81" s="677">
        <f t="shared" si="30"/>
        <v>65.572250000000011</v>
      </c>
      <c r="AS81" s="677">
        <f t="shared" si="30"/>
        <v>65.572250000000011</v>
      </c>
      <c r="AT81" s="677">
        <f t="shared" si="30"/>
        <v>65.572250000000011</v>
      </c>
      <c r="AU81" s="677">
        <f t="shared" si="30"/>
        <v>65.572250000000011</v>
      </c>
      <c r="AV81" s="677">
        <f t="shared" si="30"/>
        <v>65.572250000000011</v>
      </c>
      <c r="AW81" s="677">
        <f t="shared" si="30"/>
        <v>65.572250000000011</v>
      </c>
      <c r="AX81" s="677">
        <f t="shared" si="30"/>
        <v>65.572250000000011</v>
      </c>
      <c r="AY81" s="819">
        <f t="shared" si="30"/>
        <v>65.572250000000011</v>
      </c>
    </row>
    <row r="82" spans="2:51" s="15" customFormat="1" ht="13.5" outlineLevel="1" x14ac:dyDescent="0.25">
      <c r="B82" s="817" t="s">
        <v>1258</v>
      </c>
      <c r="C82" s="818" t="s">
        <v>1259</v>
      </c>
      <c r="D82" s="675">
        <v>0</v>
      </c>
      <c r="E82" s="675">
        <v>0</v>
      </c>
      <c r="F82" s="675">
        <v>0</v>
      </c>
      <c r="G82" s="675">
        <f>G$80/100*SISENDID!H261</f>
        <v>0</v>
      </c>
      <c r="H82" s="675">
        <f>H$80/100*SISENDID!I261</f>
        <v>0</v>
      </c>
      <c r="I82" s="675">
        <f>I$80/100*SISENDID!J261</f>
        <v>83.555232713332316</v>
      </c>
      <c r="J82" s="675">
        <f>J$80/100*SISENDID!K261</f>
        <v>76.452149052631427</v>
      </c>
      <c r="K82" s="675">
        <f>K$80/100*SISENDID!L261</f>
        <v>69.491292787993672</v>
      </c>
      <c r="L82" s="675">
        <f>L$80/100*SISENDID!M261</f>
        <v>62.670536745753161</v>
      </c>
      <c r="M82" s="675">
        <f>M$80/100*SISENDID!N261</f>
        <v>55.987779370614952</v>
      </c>
      <c r="N82" s="675">
        <f>N$80/100*SISENDID!O261</f>
        <v>49.440944511254571</v>
      </c>
      <c r="O82" s="675">
        <f>O$80/100*SISENDID!P261</f>
        <v>3734.4590588960978</v>
      </c>
      <c r="P82" s="675">
        <f>P$80/100*SISENDID!Q261</f>
        <v>3531.0368335912103</v>
      </c>
      <c r="Q82" s="675">
        <f>Q$80/100*SISENDID!R261</f>
        <v>3332.5463500402684</v>
      </c>
      <c r="R82" s="675">
        <f>R$80/100*SISENDID!S261</f>
        <v>5940.4890001775093</v>
      </c>
      <c r="S82" s="675">
        <f>S$80/100*SISENDID!T261</f>
        <v>5582.9375685606619</v>
      </c>
      <c r="T82" s="675">
        <f>T$80/100*SISENDID!U261</f>
        <v>5234.160730762811</v>
      </c>
      <c r="U82" s="675">
        <f>U$80/100*SISENDID!V261</f>
        <v>5254.261129239555</v>
      </c>
      <c r="V82" s="675">
        <f>V$80/100*SISENDID!W261</f>
        <v>4898.0756883820695</v>
      </c>
      <c r="W82" s="675">
        <f>W$80/100*SISENDID!X261</f>
        <v>4599.5009862546594</v>
      </c>
      <c r="X82" s="675">
        <f>X$80/100*SISENDID!Y261</f>
        <v>4257.2138424342629</v>
      </c>
      <c r="Y82" s="675">
        <f>Y$80/100*SISENDID!Z261</f>
        <v>4482.4927614147209</v>
      </c>
      <c r="Z82" s="675">
        <f>Z$80/100*SISENDID!AA261</f>
        <v>4110.8554196958721</v>
      </c>
      <c r="AA82" s="675">
        <f>AA$80/100*SISENDID!AB261</f>
        <v>3748.6268986465561</v>
      </c>
      <c r="AB82" s="675">
        <f>AB$80/100*SISENDID!AC261</f>
        <v>3395.6130676052339</v>
      </c>
      <c r="AC82" s="675">
        <f>AC$80/100*SISENDID!AD261</f>
        <v>3255.487914351274</v>
      </c>
      <c r="AD82" s="675">
        <f>AD$80/100*SISENDID!AE261</f>
        <v>3091.1877589612163</v>
      </c>
      <c r="AE82" s="675">
        <f>AE$80/100*SISENDID!AF261</f>
        <v>2927.0554371351336</v>
      </c>
      <c r="AF82" s="675">
        <f>AF$80/100*SISENDID!AG261</f>
        <v>2763.0897101970804</v>
      </c>
      <c r="AG82" s="675">
        <f>AG$80/100*SISENDID!AH261</f>
        <v>2599.2893476620316</v>
      </c>
      <c r="AH82" s="675">
        <f>AH$80/100*SISENDID!AI261</f>
        <v>2435.6531271849435</v>
      </c>
      <c r="AI82" s="675">
        <f>AI$80/100*SISENDID!AJ261</f>
        <v>2272.1798345101074</v>
      </c>
      <c r="AJ82" s="675">
        <f>AJ$80/100*SISENDID!AK261</f>
        <v>2108.8682634208249</v>
      </c>
      <c r="AK82" s="675">
        <f>AK$80/100*SISENDID!AL261</f>
        <v>1945.7172156893669</v>
      </c>
      <c r="AL82" s="675">
        <f>AL$80/100*SISENDID!AM261</f>
        <v>1782.7255010272429</v>
      </c>
      <c r="AM82" s="675">
        <f>AM$80/100*SISENDID!AN261</f>
        <v>1619.8919370357635</v>
      </c>
      <c r="AN82" s="675">
        <f>AN$80/100*SISENDID!AO261</f>
        <v>1457.2153491568986</v>
      </c>
      <c r="AO82" s="675">
        <f>AO$80/100*SISENDID!AP261</f>
        <v>1294.6945706244326</v>
      </c>
      <c r="AP82" s="675">
        <f>AP$80/100*SISENDID!AQ261</f>
        <v>1132.3284424154085</v>
      </c>
      <c r="AQ82" s="675">
        <f>AQ$80/100*SISENDID!AR261</f>
        <v>970.11581320186576</v>
      </c>
      <c r="AR82" s="675">
        <f>AR$80/100*SISENDID!AS261</f>
        <v>808.0555393028651</v>
      </c>
      <c r="AS82" s="675">
        <f>AS$80/100*SISENDID!AT261</f>
        <v>646.14648463680169</v>
      </c>
      <c r="AT82" s="675">
        <f>AT$80/100*SISENDID!AU261</f>
        <v>484.38752067400418</v>
      </c>
      <c r="AU82" s="675">
        <f>AU$80/100*SISENDID!AV261</f>
        <v>322.77752638961675</v>
      </c>
      <c r="AV82" s="675">
        <f>AV$80/100*SISENDID!AW261</f>
        <v>161.31538821676486</v>
      </c>
      <c r="AW82" s="675">
        <f>AW$80/100*SISENDID!AX261</f>
        <v>0</v>
      </c>
      <c r="AX82" s="675">
        <f>AX$80/100*SISENDID!AY261</f>
        <v>0</v>
      </c>
      <c r="AY82" s="676">
        <f>AY$80/100*SISENDID!AZ261</f>
        <v>0</v>
      </c>
    </row>
    <row r="83" spans="2:51" s="15" customFormat="1" ht="13.5" outlineLevel="1" x14ac:dyDescent="0.25">
      <c r="B83" s="817" t="s">
        <v>1260</v>
      </c>
      <c r="C83" s="818" t="s">
        <v>659</v>
      </c>
      <c r="D83" s="675">
        <v>0</v>
      </c>
      <c r="E83" s="675">
        <v>0</v>
      </c>
      <c r="F83" s="675">
        <v>0</v>
      </c>
      <c r="G83" s="675">
        <f>G$80/100*SISENDID!H262</f>
        <v>0</v>
      </c>
      <c r="H83" s="675">
        <f>H$80/100*SISENDID!I262</f>
        <v>0</v>
      </c>
      <c r="I83" s="675">
        <f>I$80/100*SISENDID!J262</f>
        <v>148.10265922505172</v>
      </c>
      <c r="J83" s="675">
        <f>J$80/100*SISENDID!K262</f>
        <v>164.63744450059477</v>
      </c>
      <c r="K83" s="675">
        <f>K$80/100*SISENDID!L262</f>
        <v>181.11848735308362</v>
      </c>
      <c r="L83" s="675">
        <f>L$80/100*SISENDID!M262</f>
        <v>197.54585255943567</v>
      </c>
      <c r="M83" s="675">
        <f>M$80/100*SISENDID!N262</f>
        <v>213.91960536823859</v>
      </c>
      <c r="N83" s="675">
        <f>N$80/100*SISENDID!O262</f>
        <v>230.23981149454755</v>
      </c>
      <c r="O83" s="675">
        <f>O$80/100*SISENDID!P262</f>
        <v>18835.83274176484</v>
      </c>
      <c r="P83" s="675">
        <f>P$80/100*SISENDID!Q262</f>
        <v>19308.082251637723</v>
      </c>
      <c r="Q83" s="675">
        <f>Q$80/100*SISENDID!R262</f>
        <v>19778.379372476542</v>
      </c>
      <c r="R83" s="675">
        <f>R$80/100*SISENDID!S262</f>
        <v>38317.870869122155</v>
      </c>
      <c r="S83" s="675">
        <f>S$80/100*SISENDID!T262</f>
        <v>39200.573148827723</v>
      </c>
      <c r="T83" s="675">
        <f>T$80/100*SISENDID!U262</f>
        <v>40079.6136306677</v>
      </c>
      <c r="U83" s="675">
        <f>U$80/100*SISENDID!V262</f>
        <v>43970.00310388318</v>
      </c>
      <c r="V83" s="675">
        <f>V$80/100*SISENDID!W262</f>
        <v>44905.928912197109</v>
      </c>
      <c r="W83" s="675">
        <f>W$80/100*SISENDID!X262</f>
        <v>46329.065657822845</v>
      </c>
      <c r="X83" s="675">
        <f>X$80/100*SISENDID!Y262</f>
        <v>47267.155286251502</v>
      </c>
      <c r="Y83" s="675">
        <f>Y$80/100*SISENDID!Z262</f>
        <v>55068.548916117987</v>
      </c>
      <c r="Z83" s="675">
        <f>Z$80/100*SISENDID!AA262</f>
        <v>56131.357677420034</v>
      </c>
      <c r="AA83" s="675">
        <f>AA$80/100*SISENDID!AB262</f>
        <v>57189.721601291953</v>
      </c>
      <c r="AB83" s="675">
        <f>AB$80/100*SISENDID!AC262</f>
        <v>58243.654082489375</v>
      </c>
      <c r="AC83" s="675">
        <f>AC$80/100*SISENDID!AD262</f>
        <v>63254.261980677416</v>
      </c>
      <c r="AD83" s="675">
        <f>AD$80/100*SISENDID!AE262</f>
        <v>63714.733983089754</v>
      </c>
      <c r="AE83" s="675">
        <f>AE$80/100*SISENDID!AF262</f>
        <v>64174.063948064126</v>
      </c>
      <c r="AF83" s="675">
        <f>AF$80/100*SISENDID!AG262</f>
        <v>64632.24845005598</v>
      </c>
      <c r="AG83" s="675">
        <f>AG$80/100*SISENDID!AH262</f>
        <v>65089.284119487405</v>
      </c>
      <c r="AH83" s="675">
        <f>AH$80/100*SISENDID!AI262</f>
        <v>65545.167642313943</v>
      </c>
      <c r="AI83" s="675">
        <f>AI$80/100*SISENDID!AJ262</f>
        <v>65999.895759593899</v>
      </c>
      <c r="AJ83" s="675">
        <f>AJ$80/100*SISENDID!AK262</f>
        <v>66453.465267060674</v>
      </c>
      <c r="AK83" s="675">
        <f>AK$80/100*SISENDID!AL262</f>
        <v>66905.873014697805</v>
      </c>
      <c r="AL83" s="675">
        <f>AL$80/100*SISENDID!AM262</f>
        <v>67357.115906316612</v>
      </c>
      <c r="AM83" s="675">
        <f>AM$80/100*SISENDID!AN262</f>
        <v>67807.190899136825</v>
      </c>
      <c r="AN83" s="675">
        <f>AN$80/100*SISENDID!AO262</f>
        <v>68256.095003369701</v>
      </c>
      <c r="AO83" s="675">
        <f>AO$80/100*SISENDID!AP262</f>
        <v>68703.825281803962</v>
      </c>
      <c r="AP83" s="675">
        <f>AP$80/100*SISENDID!AQ262</f>
        <v>69150.378849394401</v>
      </c>
      <c r="AQ83" s="675">
        <f>AQ$80/100*SISENDID!AR262</f>
        <v>69595.752872853132</v>
      </c>
      <c r="AR83" s="675">
        <f>AR$80/100*SISENDID!AS262</f>
        <v>70039.944570243504</v>
      </c>
      <c r="AS83" s="675">
        <f>AS$80/100*SISENDID!AT262</f>
        <v>70482.951210576633</v>
      </c>
      <c r="AT83" s="675">
        <f>AT$80/100*SISENDID!AU262</f>
        <v>70924.770113410559</v>
      </c>
      <c r="AU83" s="675">
        <f>AU$80/100*SISENDID!AV262</f>
        <v>71365.398648452072</v>
      </c>
      <c r="AV83" s="675">
        <f>AV$80/100*SISENDID!AW262</f>
        <v>71804.834235161019</v>
      </c>
      <c r="AW83" s="675">
        <f>AW$80/100*SISENDID!AX262</f>
        <v>72243.074342357184</v>
      </c>
      <c r="AX83" s="675">
        <f>AX$80/100*SISENDID!AY262</f>
        <v>0</v>
      </c>
      <c r="AY83" s="676">
        <f>AY$80/100*SISENDID!AZ262</f>
        <v>0</v>
      </c>
    </row>
    <row r="84" spans="2:51" s="39" customFormat="1" ht="13.5" outlineLevel="1" x14ac:dyDescent="0.25">
      <c r="B84" s="689" t="s">
        <v>1261</v>
      </c>
      <c r="C84" s="693" t="s">
        <v>853</v>
      </c>
      <c r="D84" s="710">
        <v>0</v>
      </c>
      <c r="E84" s="710">
        <v>0</v>
      </c>
      <c r="F84" s="710">
        <v>0</v>
      </c>
      <c r="G84" s="710">
        <f>G$80*SISENDID!H263/1000</f>
        <v>0</v>
      </c>
      <c r="H84" s="710">
        <f>H$80*SISENDID!I263/1000</f>
        <v>0</v>
      </c>
      <c r="I84" s="710">
        <f>I$80*SISENDID!J263/1000</f>
        <v>222.25391976067604</v>
      </c>
      <c r="J84" s="710">
        <f>J$80*SISENDID!K263/1000</f>
        <v>202.89243893997741</v>
      </c>
      <c r="K84" s="710">
        <f>K$80*SISENDID!L263/1000</f>
        <v>183.91336814766638</v>
      </c>
      <c r="L84" s="710">
        <f>L$80*SISENDID!M263/1000</f>
        <v>165.31138478619624</v>
      </c>
      <c r="M84" s="710">
        <f>M$80*SISENDID!N263/1000</f>
        <v>147.08121583911827</v>
      </c>
      <c r="N84" s="710">
        <f>N$80*SISENDID!O263/1000</f>
        <v>129.21763794436976</v>
      </c>
      <c r="O84" s="710">
        <f>O$80*SISENDID!P263/1000</f>
        <v>9753.2358076837663</v>
      </c>
      <c r="P84" s="710">
        <f>P$80*SISENDID!Q263/1000</f>
        <v>9215.229552699464</v>
      </c>
      <c r="Q84" s="710">
        <f>Q$80*SISENDID!R263/1000</f>
        <v>8690.787872022267</v>
      </c>
      <c r="R84" s="710">
        <f>R$80*SISENDID!S263/1000</f>
        <v>15480.302663765948</v>
      </c>
      <c r="S84" s="710">
        <f>S$80*SISENDID!T263/1000</f>
        <v>14537.459355932653</v>
      </c>
      <c r="T84" s="710">
        <f>T$80*SISENDID!U263/1000</f>
        <v>13618.654061954732</v>
      </c>
      <c r="U84" s="710">
        <f>U$80*SISENDID!V263/1000</f>
        <v>13660.025382157857</v>
      </c>
      <c r="V84" s="710">
        <f>V$80*SISENDID!W263/1000</f>
        <v>12723.525360473604</v>
      </c>
      <c r="W84" s="710">
        <f>W$80*SISENDID!X263/1000</f>
        <v>11937.73084132339</v>
      </c>
      <c r="X84" s="710">
        <f>X$80*SISENDID!Y263/1000</f>
        <v>11039.504294770852</v>
      </c>
      <c r="Y84" s="710">
        <f>Y$80*SISENDID!Z263/1000</f>
        <v>11612.795870902997</v>
      </c>
      <c r="Z84" s="710">
        <f>Z$80*SISENDID!AA263/1000</f>
        <v>10639.4079552244</v>
      </c>
      <c r="AA84" s="710">
        <f>AA$80*SISENDID!AB263/1000</f>
        <v>9691.5621825980634</v>
      </c>
      <c r="AB84" s="710">
        <f>AB$80*SISENDID!AC263/1000</f>
        <v>8768.6997090084878</v>
      </c>
      <c r="AC84" s="710">
        <f>AC$80*SISENDID!AD263/1000</f>
        <v>8396.0486870141704</v>
      </c>
      <c r="AD84" s="710">
        <f>AD$80*SISENDID!AE263/1000</f>
        <v>7870.0623008262073</v>
      </c>
      <c r="AE84" s="710">
        <f>AE$80*SISENDID!AF263/1000</f>
        <v>7356.677644298783</v>
      </c>
      <c r="AF84" s="710">
        <f>AF$80*SISENDID!AG263/1000</f>
        <v>6855.6370434192477</v>
      </c>
      <c r="AG84" s="710">
        <f>AG$80*SISENDID!AH263/1000</f>
        <v>6366.6878958505849</v>
      </c>
      <c r="AH84" s="710">
        <f>AH$80*SISENDID!AI263/1000</f>
        <v>5889.582571117131</v>
      </c>
      <c r="AI84" s="710">
        <f>AI$80*SISENDID!AJ263/1000</f>
        <v>5424.0783127777768</v>
      </c>
      <c r="AJ84" s="710">
        <f>AJ$80*SISENDID!AK263/1000</f>
        <v>4969.9371425465652</v>
      </c>
      <c r="AK84" s="710">
        <f>AK$80*SISENDID!AL263/1000</f>
        <v>4526.9257663214094</v>
      </c>
      <c r="AL84" s="710">
        <f>AL$80*SISENDID!AM263/1000</f>
        <v>4094.8154820824961</v>
      </c>
      <c r="AM84" s="710">
        <f>AM$80*SISENDID!AN263/1000</f>
        <v>3673.3820896226807</v>
      </c>
      <c r="AN84" s="710">
        <f>AN$80*SISENDID!AO263/1000</f>
        <v>3262.4058020729726</v>
      </c>
      <c r="AO84" s="710">
        <f>AO$80*SISENDID!AP263/1000</f>
        <v>2861.6711591869489</v>
      </c>
      <c r="AP84" s="710">
        <f>AP$80*SISENDID!AQ263/1000</f>
        <v>2470.9669423486612</v>
      </c>
      <c r="AQ84" s="710">
        <f>AQ$80*SISENDID!AR263/1000</f>
        <v>2090.086091269362</v>
      </c>
      <c r="AR84" s="710">
        <f>AR$80*SISENDID!AS263/1000</f>
        <v>1718.8256223390156</v>
      </c>
      <c r="AS84" s="710">
        <f>AS$80*SISENDID!AT263/1000</f>
        <v>1356.9865485993146</v>
      </c>
      <c r="AT84" s="710">
        <f>AT$80*SISENDID!AU263/1000</f>
        <v>1004.3738013055614</v>
      </c>
      <c r="AU84" s="710">
        <f>AU$80*SISENDID!AV263/1000</f>
        <v>660.79615304544961</v>
      </c>
      <c r="AV84" s="710">
        <f>AV$80*SISENDID!AW263/1000</f>
        <v>326.06614238343377</v>
      </c>
      <c r="AW84" s="710">
        <f>AW$80*SISENDID!AX263/1000</f>
        <v>0</v>
      </c>
      <c r="AX84" s="710">
        <f>AX$80*SISENDID!AY263/1000</f>
        <v>0</v>
      </c>
      <c r="AY84" s="426">
        <f>AY$80*SISENDID!AZ263/1000</f>
        <v>0</v>
      </c>
    </row>
    <row r="86" spans="2:51" x14ac:dyDescent="0.25">
      <c r="C86" s="125"/>
    </row>
    <row r="87" spans="2:51" x14ac:dyDescent="0.25">
      <c r="C87" s="294"/>
      <c r="D87" s="127"/>
    </row>
    <row r="88" spans="2:51" x14ac:dyDescent="0.25">
      <c r="C88" s="294"/>
      <c r="D88" s="128"/>
    </row>
    <row r="89" spans="2:51" x14ac:dyDescent="0.25">
      <c r="C89" s="294"/>
      <c r="D89" s="128"/>
    </row>
    <row r="97" spans="8:8" x14ac:dyDescent="0.25">
      <c r="H97" s="366"/>
    </row>
    <row r="98" spans="8:8" x14ac:dyDescent="0.25">
      <c r="H98" s="108"/>
    </row>
    <row r="99" spans="8:8" x14ac:dyDescent="0.25">
      <c r="H99" s="108"/>
    </row>
    <row r="100" spans="8:8" x14ac:dyDescent="0.25">
      <c r="H100" s="108"/>
    </row>
    <row r="101" spans="8:8" x14ac:dyDescent="0.25">
      <c r="H101" s="108"/>
    </row>
    <row r="102" spans="8:8" x14ac:dyDescent="0.25">
      <c r="H102" s="108"/>
    </row>
  </sheetData>
  <sheetProtection algorithmName="SHA-512" hashValue="Y5z5IDo0wuJrJ9Ixa7bTeM5vbUBqlC0FmG3w+Rg2klVYLGK701bldykl8AsIU5spf3EerDfDT2IhZg3Z9VA9fg==" saltValue="vI5Ri7OsILI0JsMN27KPGA==" spinCount="100000" sheet="1" objects="1" scenarios="1" selectLockedCells="1"/>
  <mergeCells count="1">
    <mergeCell ref="D3:L3"/>
  </mergeCells>
  <phoneticPr fontId="16" type="noConversion"/>
  <conditionalFormatting sqref="C48:C50">
    <cfRule type="containsText" dxfId="50" priority="1" operator="containsText" text="Kõrge">
      <formula>NOT(ISERROR(SEARCH("Kõrge",C48)))</formula>
    </cfRule>
    <cfRule type="containsText" dxfId="49" priority="2" operator="containsText" text="Mõõdukas">
      <formula>NOT(ISERROR(SEARCH("Mõõdukas",C48)))</formula>
    </cfRule>
    <cfRule type="containsText" dxfId="48" priority="3" operator="containsText" text="Madal">
      <formula>NOT(ISERROR(SEARCH("Madal",C48)))</formula>
    </cfRule>
  </conditionalFormatting>
  <dataValidations count="3">
    <dataValidation type="list" allowBlank="1" showInputMessage="1" showErrorMessage="1" sqref="C50" xr:uid="{5A02AAAF-3BA8-410C-A768-0825FB6CEC7C}">
      <formula1>I48:I50</formula1>
    </dataValidation>
    <dataValidation type="list" allowBlank="1" showInputMessage="1" showErrorMessage="1" sqref="C48" xr:uid="{046DBCB4-C80E-42B6-A8CE-275B97C56F69}">
      <formula1>I48:I50</formula1>
    </dataValidation>
    <dataValidation type="list" allowBlank="1" showInputMessage="1" showErrorMessage="1" sqref="C49" xr:uid="{7EF17A35-3BF9-4F6C-B190-2F4E220E1598}">
      <formula1>I48:I50</formula1>
    </dataValidation>
  </dataValidations>
  <hyperlinks>
    <hyperlink ref="B1" location="MEETMED!A1" display="&lt;-MEETMETE NIMEKIRI" xr:uid="{EC859FE5-A564-4102-8456-F182A300A3C3}"/>
    <hyperlink ref="F19" r:id="rId1" xr:uid="{DD2E7063-842E-43FA-9514-240250066978}"/>
  </hyperlinks>
  <pageMargins left="0.7" right="0.7" top="0.75" bottom="0.75" header="0.3" footer="0.3"/>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196EB-7177-42D0-B053-6467A3E45D09}">
  <sheetPr>
    <tabColor theme="5" tint="0.79998168889431442"/>
  </sheetPr>
  <dimension ref="A1:AV64"/>
  <sheetViews>
    <sheetView showGridLines="0" zoomScaleNormal="100" workbookViewId="0">
      <selection activeCell="C15" activeCellId="2" sqref="C7:C8 C10:C13 C15:C18"/>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9" customHeight="1" x14ac:dyDescent="0.25">
      <c r="A3" s="260" t="s">
        <v>130</v>
      </c>
      <c r="B3" s="700" t="str">
        <f>"MEEDE: "&amp;VLOOKUP(A3,MEETMED!B:G,2,FALSE)</f>
        <v>MEEDE: Bussi taristu arendamine</v>
      </c>
      <c r="C3" s="700"/>
      <c r="D3" s="990" t="str">
        <f>"TEGEVUS: "&amp;VLOOKUP(A3,MEETMED!B:G,3,FALSE)</f>
        <v>TEGEVUS: Bussiliinide ja -aegade ümberkorraldamine andmepõhiselt, et paremini vastata inimeste liikumisvajadustele (ja et oleks võimalikult vähe ümberistumisi)</v>
      </c>
      <c r="E3" s="990"/>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1.25" customHeight="1" outlineLevel="1" x14ac:dyDescent="0.25">
      <c r="D6" s="2"/>
    </row>
    <row r="7" spans="1:27" s="1" customFormat="1" outlineLevel="1" x14ac:dyDescent="0.25">
      <c r="B7" s="802" t="s">
        <v>1262</v>
      </c>
      <c r="C7" s="902">
        <v>2027</v>
      </c>
      <c r="D7" s="7" t="s">
        <v>863</v>
      </c>
      <c r="E7" s="323"/>
      <c r="K7" s="277" t="s">
        <v>876</v>
      </c>
    </row>
    <row r="8" spans="1:27" s="1" customFormat="1" outlineLevel="1" x14ac:dyDescent="0.25">
      <c r="B8" s="802" t="s">
        <v>1263</v>
      </c>
      <c r="C8" s="902">
        <v>5</v>
      </c>
      <c r="D8" s="7" t="s">
        <v>863</v>
      </c>
      <c r="E8" s="323"/>
      <c r="K8" s="893" t="s">
        <v>1670</v>
      </c>
      <c r="L8" s="305" t="s">
        <v>877</v>
      </c>
    </row>
    <row r="9" spans="1:27" s="1" customFormat="1" outlineLevel="1" x14ac:dyDescent="0.25">
      <c r="B9" s="802" t="s">
        <v>1264</v>
      </c>
      <c r="C9" s="810">
        <f>C7+C8-1</f>
        <v>2031</v>
      </c>
      <c r="D9" s="7" t="s">
        <v>863</v>
      </c>
      <c r="K9" s="892" t="s">
        <v>878</v>
      </c>
      <c r="L9" s="305" t="s">
        <v>1669</v>
      </c>
    </row>
    <row r="10" spans="1:27" s="1" customFormat="1" outlineLevel="1" x14ac:dyDescent="0.25">
      <c r="B10" s="802" t="s">
        <v>1265</v>
      </c>
      <c r="C10" s="904">
        <v>0.06</v>
      </c>
      <c r="D10" s="357">
        <v>0.06</v>
      </c>
      <c r="E10" s="323"/>
      <c r="F10" s="305" t="s">
        <v>132</v>
      </c>
      <c r="K10" s="892" t="s">
        <v>1671</v>
      </c>
      <c r="L10" s="228">
        <v>1234</v>
      </c>
    </row>
    <row r="11" spans="1:27" s="1" customFormat="1" outlineLevel="1" x14ac:dyDescent="0.25">
      <c r="B11" s="802" t="s">
        <v>1266</v>
      </c>
      <c r="C11" s="904">
        <v>0.5</v>
      </c>
      <c r="D11" s="2"/>
      <c r="E11" s="323"/>
    </row>
    <row r="12" spans="1:27" s="1" customFormat="1" outlineLevel="1" x14ac:dyDescent="0.25">
      <c r="B12" s="802" t="s">
        <v>1267</v>
      </c>
      <c r="C12" s="905">
        <v>5</v>
      </c>
      <c r="D12" s="7" t="s">
        <v>1232</v>
      </c>
      <c r="E12" s="323"/>
      <c r="F12" s="354"/>
      <c r="G12" s="7"/>
      <c r="H12" s="7"/>
      <c r="I12" s="7"/>
      <c r="J12" s="7"/>
      <c r="K12" s="7"/>
      <c r="L12" s="7"/>
    </row>
    <row r="13" spans="1:27" s="1" customFormat="1" outlineLevel="1" x14ac:dyDescent="0.25">
      <c r="B13" s="802" t="s">
        <v>1268</v>
      </c>
      <c r="C13" s="929">
        <v>1.4</v>
      </c>
      <c r="D13" s="7" t="s">
        <v>1269</v>
      </c>
      <c r="E13" s="165"/>
      <c r="F13" s="7" t="s">
        <v>1270</v>
      </c>
      <c r="G13" s="7"/>
      <c r="H13" s="7"/>
      <c r="I13" s="7"/>
      <c r="J13" s="7"/>
      <c r="K13" s="7"/>
      <c r="L13" s="7"/>
    </row>
    <row r="14" spans="1:27" outlineLevel="1" x14ac:dyDescent="0.25">
      <c r="B14" s="715" t="s">
        <v>1271</v>
      </c>
      <c r="C14" s="502"/>
      <c r="D14" s="314"/>
    </row>
    <row r="15" spans="1:27" s="1" customFormat="1" outlineLevel="1" x14ac:dyDescent="0.25">
      <c r="B15" s="802" t="s">
        <v>1272</v>
      </c>
      <c r="C15" s="903">
        <v>20</v>
      </c>
      <c r="D15" s="7" t="s">
        <v>1273</v>
      </c>
      <c r="E15" s="323"/>
      <c r="F15" s="305" t="s">
        <v>1274</v>
      </c>
      <c r="G15" s="7"/>
      <c r="H15" s="7"/>
      <c r="I15" s="7"/>
      <c r="J15" s="7"/>
      <c r="K15" s="7"/>
      <c r="L15" s="7"/>
    </row>
    <row r="16" spans="1:27" s="1" customFormat="1" outlineLevel="1" x14ac:dyDescent="0.25">
      <c r="B16" s="802" t="s">
        <v>1217</v>
      </c>
      <c r="C16" s="905">
        <v>1.5</v>
      </c>
      <c r="D16" s="7" t="s">
        <v>1218</v>
      </c>
      <c r="E16" s="305"/>
      <c r="F16" s="7"/>
      <c r="G16" s="7"/>
      <c r="H16" s="7"/>
      <c r="I16" s="7"/>
      <c r="J16" s="7"/>
      <c r="K16" s="7"/>
      <c r="L16" s="7"/>
    </row>
    <row r="17" spans="1:34" s="1" customFormat="1" outlineLevel="1" x14ac:dyDescent="0.25">
      <c r="B17" s="802" t="s">
        <v>1275</v>
      </c>
      <c r="C17" s="905">
        <v>0.2</v>
      </c>
      <c r="D17" s="7" t="s">
        <v>1220</v>
      </c>
      <c r="E17" s="305"/>
      <c r="F17" s="7" t="s">
        <v>1221</v>
      </c>
      <c r="G17" s="7"/>
      <c r="H17" s="7"/>
      <c r="I17" s="7"/>
      <c r="J17" s="7"/>
      <c r="K17" s="7"/>
      <c r="L17" s="7"/>
    </row>
    <row r="18" spans="1:34" s="1" customFormat="1" outlineLevel="1" x14ac:dyDescent="0.25">
      <c r="B18" s="802" t="s">
        <v>1222</v>
      </c>
      <c r="C18" s="904">
        <v>0.5</v>
      </c>
      <c r="D18" s="7" t="s">
        <v>1223</v>
      </c>
      <c r="E18" s="305"/>
      <c r="F18" s="7"/>
      <c r="G18" s="7"/>
      <c r="H18" s="7"/>
      <c r="I18" s="7"/>
      <c r="J18" s="7"/>
      <c r="K18" s="7"/>
      <c r="L18" s="7"/>
    </row>
    <row r="19" spans="1:34" s="1" customFormat="1" ht="6.75" customHeight="1" outlineLevel="1" x14ac:dyDescent="0.25">
      <c r="B19" s="7"/>
      <c r="C19" s="7"/>
      <c r="D19" s="7"/>
      <c r="E19" s="7"/>
      <c r="F19" s="7"/>
      <c r="G19" s="7"/>
      <c r="H19" s="7"/>
      <c r="I19" s="7"/>
      <c r="J19" s="7"/>
      <c r="K19" s="7"/>
      <c r="L19" s="7"/>
    </row>
    <row r="20" spans="1:34" s="1" customFormat="1" ht="16.5" customHeight="1" x14ac:dyDescent="0.25">
      <c r="B20" s="6"/>
      <c r="C20" s="6"/>
      <c r="D20" s="7"/>
      <c r="E20" s="7"/>
    </row>
    <row r="21" spans="1:34" x14ac:dyDescent="0.25">
      <c r="A21" s="1"/>
      <c r="B21" s="659" t="s">
        <v>895</v>
      </c>
      <c r="C21" s="659"/>
      <c r="D21" s="659"/>
      <c r="E21" s="659"/>
      <c r="F21" s="659"/>
      <c r="G21" s="659"/>
      <c r="H21" s="659"/>
      <c r="I21" s="659"/>
      <c r="J21" s="659"/>
      <c r="K21" s="659"/>
      <c r="L21" s="659"/>
      <c r="M21" s="1"/>
      <c r="N21" s="1"/>
      <c r="O21" s="1"/>
      <c r="P21" s="1"/>
      <c r="Q21" s="1"/>
      <c r="R21" s="1"/>
      <c r="S21" s="1"/>
      <c r="T21" s="1"/>
      <c r="U21" s="1"/>
      <c r="V21" s="1"/>
      <c r="W21" s="1"/>
      <c r="X21" s="1"/>
      <c r="Y21" s="1"/>
      <c r="Z21" s="1"/>
      <c r="AA21" s="1"/>
      <c r="AB21" s="1"/>
      <c r="AC21" s="1"/>
      <c r="AD21" s="1"/>
      <c r="AE21" s="1"/>
      <c r="AF21" s="1"/>
      <c r="AG21" s="1"/>
      <c r="AH21" s="1"/>
    </row>
    <row r="22" spans="1:34" s="1" customFormat="1" ht="8.25" customHeight="1" outlineLevel="1" x14ac:dyDescent="0.25">
      <c r="B22" s="4"/>
      <c r="C22" s="10"/>
      <c r="D22" s="12"/>
      <c r="E22" s="12"/>
      <c r="F22" s="12"/>
      <c r="G22" s="12"/>
      <c r="H22" s="12"/>
      <c r="J22" s="295"/>
    </row>
    <row r="23" spans="1:34" s="1" customFormat="1" outlineLevel="1" x14ac:dyDescent="0.25">
      <c r="B23" s="13" t="s">
        <v>896</v>
      </c>
      <c r="D23" s="43"/>
      <c r="E23" s="284" t="s">
        <v>897</v>
      </c>
    </row>
    <row r="24" spans="1:34" s="1" customFormat="1" outlineLevel="1" x14ac:dyDescent="0.25">
      <c r="B24" s="660" t="s">
        <v>898</v>
      </c>
      <c r="C24" s="665" t="s">
        <v>899</v>
      </c>
      <c r="D24" s="43"/>
      <c r="E24" s="661"/>
      <c r="F24" s="701" t="s">
        <v>900</v>
      </c>
    </row>
    <row r="25" spans="1:34" s="1" customFormat="1" outlineLevel="1" x14ac:dyDescent="0.25">
      <c r="B25" s="663" t="s">
        <v>398</v>
      </c>
      <c r="C25" s="666">
        <v>0</v>
      </c>
      <c r="E25" s="663">
        <v>2030</v>
      </c>
      <c r="F25" s="670">
        <f>H52</f>
        <v>1174.3597746536723</v>
      </c>
    </row>
    <row r="26" spans="1:34" s="1" customFormat="1" outlineLevel="1" x14ac:dyDescent="0.25">
      <c r="B26" s="155" t="s">
        <v>399</v>
      </c>
      <c r="C26" s="667">
        <v>0</v>
      </c>
      <c r="E26" s="155">
        <v>2035</v>
      </c>
      <c r="F26" s="428">
        <f>M52</f>
        <v>892.16937957763048</v>
      </c>
    </row>
    <row r="27" spans="1:34" s="1" customFormat="1" outlineLevel="1" x14ac:dyDescent="0.25">
      <c r="B27" s="663" t="s">
        <v>400</v>
      </c>
      <c r="C27" s="666">
        <f>SUM(D45:AB45)/25/1000</f>
        <v>-0.91172812207138787</v>
      </c>
      <c r="E27" s="663">
        <v>2040</v>
      </c>
      <c r="F27" s="670">
        <f>R52</f>
        <v>622.1460945683026</v>
      </c>
    </row>
    <row r="28" spans="1:34" s="1" customFormat="1" ht="15" customHeight="1" outlineLevel="1" x14ac:dyDescent="0.25">
      <c r="B28" s="155" t="s">
        <v>401</v>
      </c>
      <c r="C28" s="667">
        <f>SUM(D43:AB43)/25/1000</f>
        <v>4.0000000000000001E-3</v>
      </c>
      <c r="E28" s="155">
        <v>2045</v>
      </c>
      <c r="F28" s="428">
        <f>W52</f>
        <v>442.13705170228781</v>
      </c>
    </row>
    <row r="29" spans="1:34" s="1" customFormat="1" outlineLevel="1" x14ac:dyDescent="0.25">
      <c r="B29" s="663" t="s">
        <v>901</v>
      </c>
      <c r="C29" s="670">
        <f>MAX(D52:AR52)</f>
        <v>1348.1540832411406</v>
      </c>
      <c r="E29" s="663">
        <v>2050</v>
      </c>
      <c r="F29" s="670">
        <f>AB52</f>
        <v>284.26652607715044</v>
      </c>
    </row>
    <row r="30" spans="1:34" s="1" customFormat="1" outlineLevel="1" x14ac:dyDescent="0.25">
      <c r="B30" s="155" t="s">
        <v>902</v>
      </c>
      <c r="C30" s="428">
        <f>SUM(D51:AB51)/1000</f>
        <v>32.77947171261215</v>
      </c>
      <c r="D30" s="235"/>
      <c r="E30" s="7"/>
    </row>
    <row r="31" spans="1:34" s="1" customFormat="1" outlineLevel="1" x14ac:dyDescent="0.25">
      <c r="B31" s="663" t="s">
        <v>403</v>
      </c>
      <c r="C31" s="670">
        <f>SUM(D45:AV45)*1000/SUM(D52:AV52)</f>
        <v>-1959.2416970931708</v>
      </c>
      <c r="E31" s="7"/>
    </row>
    <row r="32" spans="1:34" s="1" customFormat="1" ht="9.75" customHeight="1" outlineLevel="1" x14ac:dyDescent="0.25">
      <c r="B32" s="13"/>
      <c r="C32" s="236"/>
    </row>
    <row r="33" spans="1:48" s="1" customFormat="1" outlineLevel="1" x14ac:dyDescent="0.25">
      <c r="A33" s="2"/>
      <c r="B33" s="284" t="s">
        <v>903</v>
      </c>
      <c r="D33" s="43"/>
      <c r="E33" s="7"/>
      <c r="I33" s="277" t="s">
        <v>876</v>
      </c>
    </row>
    <row r="34" spans="1:48" s="1" customFormat="1" ht="16.5" customHeight="1" outlineLevel="1" x14ac:dyDescent="0.25">
      <c r="A34" s="2">
        <v>1</v>
      </c>
      <c r="B34" s="155" t="s">
        <v>904</v>
      </c>
      <c r="C34" s="307" t="s">
        <v>905</v>
      </c>
      <c r="D34" s="283"/>
      <c r="E34" s="12"/>
      <c r="F34" s="12"/>
      <c r="G34" s="12"/>
      <c r="H34" s="12"/>
      <c r="I34" s="311" t="s">
        <v>474</v>
      </c>
      <c r="J34" s="295" t="s">
        <v>906</v>
      </c>
    </row>
    <row r="35" spans="1:48" s="1" customFormat="1" ht="16.5" customHeight="1" outlineLevel="1" x14ac:dyDescent="0.25">
      <c r="A35" s="2"/>
      <c r="B35" s="155" t="s">
        <v>907</v>
      </c>
      <c r="C35" s="307" t="s">
        <v>910</v>
      </c>
      <c r="D35" s="397">
        <f>IF(C35="Kõrge",3,IF(C35="Mõõdukas",2,1))</f>
        <v>1</v>
      </c>
      <c r="E35" s="283" t="s">
        <v>1276</v>
      </c>
      <c r="F35" s="12"/>
      <c r="G35" s="12"/>
      <c r="H35" s="12"/>
      <c r="I35" s="312" t="s">
        <v>905</v>
      </c>
      <c r="J35" s="295" t="s">
        <v>908</v>
      </c>
    </row>
    <row r="36" spans="1:48" s="1" customFormat="1" outlineLevel="1" x14ac:dyDescent="0.25">
      <c r="A36" s="2">
        <v>189</v>
      </c>
      <c r="B36" s="155" t="s">
        <v>909</v>
      </c>
      <c r="C36" s="307" t="s">
        <v>905</v>
      </c>
      <c r="D36" s="397">
        <f>IF(C36="Kõrge",3,IF(C36="Mõõdukas",2,1))</f>
        <v>2</v>
      </c>
      <c r="E36" s="12"/>
      <c r="F36" s="12"/>
      <c r="I36" s="313" t="s">
        <v>910</v>
      </c>
      <c r="J36" s="295" t="s">
        <v>911</v>
      </c>
    </row>
    <row r="37" spans="1:48" s="1" customFormat="1" x14ac:dyDescent="0.25">
      <c r="B37" s="7"/>
      <c r="C37" s="399" t="s">
        <v>912</v>
      </c>
      <c r="D37" s="398">
        <f>D36+D35</f>
        <v>3</v>
      </c>
      <c r="E37" s="7"/>
    </row>
    <row r="38" spans="1:48" x14ac:dyDescent="0.25">
      <c r="A38" s="1"/>
      <c r="B38" s="659" t="s">
        <v>913</v>
      </c>
      <c r="C38" s="659"/>
      <c r="D38" s="659"/>
      <c r="E38" s="659"/>
      <c r="F38" s="659"/>
      <c r="G38" s="659"/>
      <c r="H38" s="659"/>
      <c r="I38" s="659"/>
      <c r="J38" s="659"/>
      <c r="K38" s="659"/>
      <c r="L38" s="659"/>
      <c r="M38" s="659"/>
      <c r="N38" s="659"/>
      <c r="O38" s="659"/>
      <c r="P38" s="659"/>
      <c r="Q38" s="659"/>
      <c r="R38" s="659"/>
      <c r="S38" s="659"/>
      <c r="T38" s="659"/>
      <c r="U38" s="659"/>
      <c r="V38" s="659"/>
      <c r="W38" s="659"/>
      <c r="X38" s="659"/>
      <c r="Y38" s="659"/>
      <c r="Z38" s="659"/>
      <c r="AA38" s="659"/>
      <c r="AB38" s="659"/>
      <c r="AC38" s="659"/>
      <c r="AD38" s="659"/>
      <c r="AE38" s="659"/>
      <c r="AF38" s="659"/>
      <c r="AG38" s="659"/>
      <c r="AH38" s="659"/>
      <c r="AI38" s="659"/>
      <c r="AJ38" s="659"/>
      <c r="AK38" s="659"/>
      <c r="AL38" s="659"/>
      <c r="AM38" s="659"/>
      <c r="AN38" s="659"/>
      <c r="AO38" s="659"/>
      <c r="AP38" s="659"/>
      <c r="AQ38" s="659"/>
      <c r="AR38" s="659"/>
      <c r="AS38" s="511"/>
      <c r="AT38" s="511"/>
      <c r="AU38" s="511"/>
      <c r="AV38" s="511"/>
    </row>
    <row r="39" spans="1:48" s="15" customFormat="1" ht="7.5" customHeight="1" outlineLevel="1" x14ac:dyDescent="0.25"/>
    <row r="40" spans="1:48" s="15" customFormat="1" ht="13.5" outlineLevel="1" x14ac:dyDescent="0.25">
      <c r="B40" s="715" t="s">
        <v>914</v>
      </c>
      <c r="C40" s="719"/>
      <c r="D40" s="432">
        <v>2026</v>
      </c>
      <c r="E40" s="432">
        <f>D40+1</f>
        <v>2027</v>
      </c>
      <c r="F40" s="432">
        <f t="shared" ref="F40:AV40" si="0">E40+1</f>
        <v>2028</v>
      </c>
      <c r="G40" s="432">
        <f t="shared" si="0"/>
        <v>2029</v>
      </c>
      <c r="H40" s="432">
        <f t="shared" si="0"/>
        <v>2030</v>
      </c>
      <c r="I40" s="432">
        <f t="shared" si="0"/>
        <v>2031</v>
      </c>
      <c r="J40" s="432">
        <f t="shared" si="0"/>
        <v>2032</v>
      </c>
      <c r="K40" s="432">
        <f t="shared" si="0"/>
        <v>2033</v>
      </c>
      <c r="L40" s="432">
        <f t="shared" si="0"/>
        <v>2034</v>
      </c>
      <c r="M40" s="432">
        <f t="shared" si="0"/>
        <v>2035</v>
      </c>
      <c r="N40" s="432">
        <f>M40+1</f>
        <v>2036</v>
      </c>
      <c r="O40" s="432">
        <f t="shared" si="0"/>
        <v>2037</v>
      </c>
      <c r="P40" s="432">
        <f t="shared" si="0"/>
        <v>2038</v>
      </c>
      <c r="Q40" s="432">
        <f t="shared" si="0"/>
        <v>2039</v>
      </c>
      <c r="R40" s="432">
        <f t="shared" si="0"/>
        <v>2040</v>
      </c>
      <c r="S40" s="432">
        <f>R40+1</f>
        <v>2041</v>
      </c>
      <c r="T40" s="432">
        <f>S40+1</f>
        <v>2042</v>
      </c>
      <c r="U40" s="432">
        <f>T40+1</f>
        <v>2043</v>
      </c>
      <c r="V40" s="432">
        <f t="shared" si="0"/>
        <v>2044</v>
      </c>
      <c r="W40" s="432">
        <f t="shared" si="0"/>
        <v>2045</v>
      </c>
      <c r="X40" s="432">
        <f t="shared" si="0"/>
        <v>2046</v>
      </c>
      <c r="Y40" s="432">
        <f t="shared" si="0"/>
        <v>2047</v>
      </c>
      <c r="Z40" s="432">
        <f t="shared" si="0"/>
        <v>2048</v>
      </c>
      <c r="AA40" s="432">
        <f t="shared" si="0"/>
        <v>2049</v>
      </c>
      <c r="AB40" s="432">
        <f t="shared" si="0"/>
        <v>2050</v>
      </c>
      <c r="AC40" s="432">
        <f t="shared" si="0"/>
        <v>2051</v>
      </c>
      <c r="AD40" s="432">
        <f t="shared" si="0"/>
        <v>2052</v>
      </c>
      <c r="AE40" s="432">
        <f t="shared" si="0"/>
        <v>2053</v>
      </c>
      <c r="AF40" s="432">
        <f t="shared" si="0"/>
        <v>2054</v>
      </c>
      <c r="AG40" s="432">
        <f t="shared" si="0"/>
        <v>2055</v>
      </c>
      <c r="AH40" s="432">
        <f t="shared" si="0"/>
        <v>2056</v>
      </c>
      <c r="AI40" s="432">
        <f t="shared" si="0"/>
        <v>2057</v>
      </c>
      <c r="AJ40" s="432">
        <f t="shared" si="0"/>
        <v>2058</v>
      </c>
      <c r="AK40" s="432">
        <f t="shared" si="0"/>
        <v>2059</v>
      </c>
      <c r="AL40" s="432">
        <f t="shared" si="0"/>
        <v>2060</v>
      </c>
      <c r="AM40" s="432">
        <f t="shared" si="0"/>
        <v>2061</v>
      </c>
      <c r="AN40" s="432">
        <f t="shared" si="0"/>
        <v>2062</v>
      </c>
      <c r="AO40" s="432">
        <f t="shared" si="0"/>
        <v>2063</v>
      </c>
      <c r="AP40" s="432">
        <f t="shared" si="0"/>
        <v>2064</v>
      </c>
      <c r="AQ40" s="432">
        <f t="shared" si="0"/>
        <v>2065</v>
      </c>
      <c r="AR40" s="432">
        <f t="shared" si="0"/>
        <v>2066</v>
      </c>
      <c r="AS40" s="432">
        <f t="shared" si="0"/>
        <v>2067</v>
      </c>
      <c r="AT40" s="432">
        <f t="shared" si="0"/>
        <v>2068</v>
      </c>
      <c r="AU40" s="432">
        <f t="shared" si="0"/>
        <v>2069</v>
      </c>
      <c r="AV40" s="716">
        <f t="shared" si="0"/>
        <v>2070</v>
      </c>
    </row>
    <row r="41" spans="1:48" s="15" customFormat="1" ht="13.5" outlineLevel="1" x14ac:dyDescent="0.25">
      <c r="B41" s="689" t="s">
        <v>1277</v>
      </c>
      <c r="C41" s="815"/>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686"/>
      <c r="AM41" s="686"/>
      <c r="AN41" s="686"/>
      <c r="AO41" s="686"/>
      <c r="AP41" s="686"/>
      <c r="AQ41" s="686"/>
      <c r="AR41" s="686"/>
      <c r="AS41" s="686"/>
      <c r="AT41" s="686"/>
      <c r="AU41" s="686"/>
      <c r="AV41" s="687"/>
    </row>
    <row r="42" spans="1:48" s="15" customFormat="1" ht="13.5" outlineLevel="1" x14ac:dyDescent="0.25">
      <c r="B42" s="817" t="s">
        <v>1278</v>
      </c>
      <c r="C42" s="818" t="s">
        <v>1279</v>
      </c>
      <c r="D42" s="675">
        <f t="shared" ref="D42:AV42" si="1">IF(OR(D40&lt;$C$7,D40&gt;$C$9),0,1)</f>
        <v>0</v>
      </c>
      <c r="E42" s="675">
        <f t="shared" si="1"/>
        <v>1</v>
      </c>
      <c r="F42" s="675">
        <f t="shared" si="1"/>
        <v>1</v>
      </c>
      <c r="G42" s="675">
        <f t="shared" si="1"/>
        <v>1</v>
      </c>
      <c r="H42" s="675">
        <f t="shared" si="1"/>
        <v>1</v>
      </c>
      <c r="I42" s="675">
        <f t="shared" si="1"/>
        <v>1</v>
      </c>
      <c r="J42" s="675">
        <f t="shared" si="1"/>
        <v>0</v>
      </c>
      <c r="K42" s="675">
        <f t="shared" si="1"/>
        <v>0</v>
      </c>
      <c r="L42" s="675">
        <f t="shared" si="1"/>
        <v>0</v>
      </c>
      <c r="M42" s="675">
        <f t="shared" si="1"/>
        <v>0</v>
      </c>
      <c r="N42" s="675">
        <f t="shared" si="1"/>
        <v>0</v>
      </c>
      <c r="O42" s="675">
        <f t="shared" si="1"/>
        <v>0</v>
      </c>
      <c r="P42" s="675">
        <f t="shared" si="1"/>
        <v>0</v>
      </c>
      <c r="Q42" s="675">
        <f t="shared" si="1"/>
        <v>0</v>
      </c>
      <c r="R42" s="675">
        <f t="shared" si="1"/>
        <v>0</v>
      </c>
      <c r="S42" s="675">
        <f t="shared" si="1"/>
        <v>0</v>
      </c>
      <c r="T42" s="675">
        <f t="shared" si="1"/>
        <v>0</v>
      </c>
      <c r="U42" s="675">
        <f t="shared" si="1"/>
        <v>0</v>
      </c>
      <c r="V42" s="675">
        <f t="shared" si="1"/>
        <v>0</v>
      </c>
      <c r="W42" s="675">
        <f t="shared" si="1"/>
        <v>0</v>
      </c>
      <c r="X42" s="675">
        <f t="shared" si="1"/>
        <v>0</v>
      </c>
      <c r="Y42" s="675">
        <f t="shared" si="1"/>
        <v>0</v>
      </c>
      <c r="Z42" s="675">
        <f t="shared" si="1"/>
        <v>0</v>
      </c>
      <c r="AA42" s="675">
        <f t="shared" si="1"/>
        <v>0</v>
      </c>
      <c r="AB42" s="675">
        <f t="shared" si="1"/>
        <v>0</v>
      </c>
      <c r="AC42" s="675">
        <f t="shared" si="1"/>
        <v>0</v>
      </c>
      <c r="AD42" s="675">
        <f t="shared" si="1"/>
        <v>0</v>
      </c>
      <c r="AE42" s="675">
        <f t="shared" si="1"/>
        <v>0</v>
      </c>
      <c r="AF42" s="675">
        <f t="shared" si="1"/>
        <v>0</v>
      </c>
      <c r="AG42" s="675">
        <f t="shared" si="1"/>
        <v>0</v>
      </c>
      <c r="AH42" s="675">
        <f t="shared" si="1"/>
        <v>0</v>
      </c>
      <c r="AI42" s="675">
        <f t="shared" si="1"/>
        <v>0</v>
      </c>
      <c r="AJ42" s="675">
        <f t="shared" si="1"/>
        <v>0</v>
      </c>
      <c r="AK42" s="675">
        <f t="shared" si="1"/>
        <v>0</v>
      </c>
      <c r="AL42" s="675">
        <f t="shared" si="1"/>
        <v>0</v>
      </c>
      <c r="AM42" s="675">
        <f t="shared" si="1"/>
        <v>0</v>
      </c>
      <c r="AN42" s="675">
        <f t="shared" si="1"/>
        <v>0</v>
      </c>
      <c r="AO42" s="675">
        <f t="shared" si="1"/>
        <v>0</v>
      </c>
      <c r="AP42" s="675">
        <f t="shared" si="1"/>
        <v>0</v>
      </c>
      <c r="AQ42" s="675">
        <f t="shared" si="1"/>
        <v>0</v>
      </c>
      <c r="AR42" s="675">
        <f t="shared" si="1"/>
        <v>0</v>
      </c>
      <c r="AS42" s="675">
        <f t="shared" si="1"/>
        <v>0</v>
      </c>
      <c r="AT42" s="675">
        <f t="shared" si="1"/>
        <v>0</v>
      </c>
      <c r="AU42" s="675">
        <f t="shared" si="1"/>
        <v>0</v>
      </c>
      <c r="AV42" s="676">
        <f t="shared" si="1"/>
        <v>0</v>
      </c>
    </row>
    <row r="43" spans="1:48" s="15" customFormat="1" ht="13.5" outlineLevel="1" x14ac:dyDescent="0.25">
      <c r="B43" s="671" t="s">
        <v>1280</v>
      </c>
      <c r="C43" s="679" t="s">
        <v>1243</v>
      </c>
      <c r="D43" s="682">
        <f>D42*$C$15</f>
        <v>0</v>
      </c>
      <c r="E43" s="682">
        <f t="shared" ref="E43:AV43" si="2">E42*$C$15</f>
        <v>20</v>
      </c>
      <c r="F43" s="682">
        <f t="shared" si="2"/>
        <v>20</v>
      </c>
      <c r="G43" s="682">
        <f t="shared" si="2"/>
        <v>20</v>
      </c>
      <c r="H43" s="682">
        <f t="shared" si="2"/>
        <v>20</v>
      </c>
      <c r="I43" s="682">
        <f t="shared" si="2"/>
        <v>20</v>
      </c>
      <c r="J43" s="682">
        <f t="shared" si="2"/>
        <v>0</v>
      </c>
      <c r="K43" s="682">
        <f t="shared" si="2"/>
        <v>0</v>
      </c>
      <c r="L43" s="682">
        <f t="shared" si="2"/>
        <v>0</v>
      </c>
      <c r="M43" s="682">
        <f t="shared" si="2"/>
        <v>0</v>
      </c>
      <c r="N43" s="682">
        <f t="shared" si="2"/>
        <v>0</v>
      </c>
      <c r="O43" s="682">
        <f t="shared" si="2"/>
        <v>0</v>
      </c>
      <c r="P43" s="682">
        <f t="shared" si="2"/>
        <v>0</v>
      </c>
      <c r="Q43" s="682">
        <f t="shared" si="2"/>
        <v>0</v>
      </c>
      <c r="R43" s="682">
        <f t="shared" si="2"/>
        <v>0</v>
      </c>
      <c r="S43" s="682">
        <f t="shared" si="2"/>
        <v>0</v>
      </c>
      <c r="T43" s="682">
        <f t="shared" si="2"/>
        <v>0</v>
      </c>
      <c r="U43" s="682">
        <f t="shared" si="2"/>
        <v>0</v>
      </c>
      <c r="V43" s="682">
        <f t="shared" si="2"/>
        <v>0</v>
      </c>
      <c r="W43" s="682">
        <f t="shared" si="2"/>
        <v>0</v>
      </c>
      <c r="X43" s="682">
        <f t="shared" si="2"/>
        <v>0</v>
      </c>
      <c r="Y43" s="682">
        <f t="shared" si="2"/>
        <v>0</v>
      </c>
      <c r="Z43" s="682">
        <f t="shared" si="2"/>
        <v>0</v>
      </c>
      <c r="AA43" s="682">
        <f t="shared" si="2"/>
        <v>0</v>
      </c>
      <c r="AB43" s="682">
        <f t="shared" si="2"/>
        <v>0</v>
      </c>
      <c r="AC43" s="682">
        <f t="shared" si="2"/>
        <v>0</v>
      </c>
      <c r="AD43" s="682">
        <f t="shared" si="2"/>
        <v>0</v>
      </c>
      <c r="AE43" s="682">
        <f t="shared" si="2"/>
        <v>0</v>
      </c>
      <c r="AF43" s="682">
        <f t="shared" si="2"/>
        <v>0</v>
      </c>
      <c r="AG43" s="682">
        <f t="shared" si="2"/>
        <v>0</v>
      </c>
      <c r="AH43" s="682">
        <f t="shared" si="2"/>
        <v>0</v>
      </c>
      <c r="AI43" s="682">
        <f t="shared" si="2"/>
        <v>0</v>
      </c>
      <c r="AJ43" s="682">
        <f t="shared" si="2"/>
        <v>0</v>
      </c>
      <c r="AK43" s="682">
        <f t="shared" si="2"/>
        <v>0</v>
      </c>
      <c r="AL43" s="682">
        <f t="shared" si="2"/>
        <v>0</v>
      </c>
      <c r="AM43" s="682">
        <f t="shared" si="2"/>
        <v>0</v>
      </c>
      <c r="AN43" s="682">
        <f t="shared" si="2"/>
        <v>0</v>
      </c>
      <c r="AO43" s="682">
        <f t="shared" si="2"/>
        <v>0</v>
      </c>
      <c r="AP43" s="682">
        <f t="shared" si="2"/>
        <v>0</v>
      </c>
      <c r="AQ43" s="682">
        <f t="shared" si="2"/>
        <v>0</v>
      </c>
      <c r="AR43" s="682">
        <f t="shared" si="2"/>
        <v>0</v>
      </c>
      <c r="AS43" s="682">
        <f t="shared" si="2"/>
        <v>0</v>
      </c>
      <c r="AT43" s="682">
        <f t="shared" si="2"/>
        <v>0</v>
      </c>
      <c r="AU43" s="682">
        <f t="shared" si="2"/>
        <v>0</v>
      </c>
      <c r="AV43" s="428">
        <f t="shared" si="2"/>
        <v>0</v>
      </c>
    </row>
    <row r="44" spans="1:48" s="15" customFormat="1" ht="13.5" outlineLevel="1" x14ac:dyDescent="0.25">
      <c r="B44" s="671" t="s">
        <v>1281</v>
      </c>
      <c r="C44" s="679" t="s">
        <v>1243</v>
      </c>
      <c r="D44" s="682">
        <f>-(D49*$C$16+D51*$C$17)*(1+$C$18)</f>
        <v>0</v>
      </c>
      <c r="E44" s="682">
        <f t="shared" ref="E44:AV44" si="3">-(E49*$C$16+E51*$C$17)*(1+$C$18)</f>
        <v>-324.35979605057753</v>
      </c>
      <c r="F44" s="682">
        <f t="shared" si="3"/>
        <v>-619.69495691568886</v>
      </c>
      <c r="G44" s="682">
        <f t="shared" si="3"/>
        <v>-887.16480997279655</v>
      </c>
      <c r="H44" s="682">
        <f t="shared" si="3"/>
        <v>-1127.9046961288304</v>
      </c>
      <c r="I44" s="682">
        <f t="shared" si="3"/>
        <v>-1343.0263290923035</v>
      </c>
      <c r="J44" s="682">
        <f t="shared" si="3"/>
        <v>-1278.0151259543752</v>
      </c>
      <c r="K44" s="682">
        <f t="shared" si="3"/>
        <v>-1214.8183467176609</v>
      </c>
      <c r="L44" s="682">
        <f t="shared" si="3"/>
        <v>-1153.4074278533189</v>
      </c>
      <c r="M44" s="682">
        <f t="shared" si="3"/>
        <v>-1093.7541533976305</v>
      </c>
      <c r="N44" s="682">
        <f t="shared" si="3"/>
        <v>-1068.900286541842</v>
      </c>
      <c r="O44" s="682">
        <f t="shared" si="3"/>
        <v>-1044.863242334648</v>
      </c>
      <c r="P44" s="682">
        <f t="shared" si="3"/>
        <v>-1021.6256478267012</v>
      </c>
      <c r="Q44" s="682">
        <f t="shared" si="3"/>
        <v>-999.17046328929064</v>
      </c>
      <c r="R44" s="682">
        <f t="shared" si="3"/>
        <v>-977.48097602476344</v>
      </c>
      <c r="S44" s="682">
        <f t="shared" si="3"/>
        <v>-956.54079429065041</v>
      </c>
      <c r="T44" s="682">
        <f t="shared" si="3"/>
        <v>-936.33384133541858</v>
      </c>
      <c r="U44" s="682">
        <f t="shared" si="3"/>
        <v>-916.8443495438039</v>
      </c>
      <c r="V44" s="682">
        <f t="shared" si="3"/>
        <v>-898.05685468972035</v>
      </c>
      <c r="W44" s="682">
        <f t="shared" si="3"/>
        <v>-879.95619029477393</v>
      </c>
      <c r="X44" s="682">
        <f t="shared" si="3"/>
        <v>-862.52748209045012</v>
      </c>
      <c r="Y44" s="682">
        <f t="shared" si="3"/>
        <v>-845.75614258207611</v>
      </c>
      <c r="Z44" s="682">
        <f t="shared" si="3"/>
        <v>-829.62786571269419</v>
      </c>
      <c r="AA44" s="682">
        <f t="shared" si="3"/>
        <v>-814.12862162501619</v>
      </c>
      <c r="AB44" s="682">
        <f t="shared" si="3"/>
        <v>-799.24465151966638</v>
      </c>
      <c r="AC44" s="682">
        <f t="shared" si="3"/>
        <v>-792.20875094138341</v>
      </c>
      <c r="AD44" s="682">
        <f t="shared" si="3"/>
        <v>-785.1739143852883</v>
      </c>
      <c r="AE44" s="682">
        <f t="shared" si="3"/>
        <v>-778.14002592988254</v>
      </c>
      <c r="AF44" s="682">
        <f t="shared" si="3"/>
        <v>-771.10697072392827</v>
      </c>
      <c r="AG44" s="682">
        <f t="shared" si="3"/>
        <v>-764.07463497901529</v>
      </c>
      <c r="AH44" s="682">
        <f t="shared" si="3"/>
        <v>-757.04290596217254</v>
      </c>
      <c r="AI44" s="682">
        <f t="shared" si="3"/>
        <v>-750.01167198852841</v>
      </c>
      <c r="AJ44" s="682">
        <f t="shared" si="3"/>
        <v>-742.98082241401437</v>
      </c>
      <c r="AK44" s="682">
        <f t="shared" si="3"/>
        <v>-735.95024762811477</v>
      </c>
      <c r="AL44" s="682">
        <f t="shared" si="3"/>
        <v>-728.91983904666426</v>
      </c>
      <c r="AM44" s="682">
        <f t="shared" si="3"/>
        <v>-721.88948910468548</v>
      </c>
      <c r="AN44" s="682">
        <f t="shared" si="3"/>
        <v>-714.85909124927707</v>
      </c>
      <c r="AO44" s="682">
        <f t="shared" si="3"/>
        <v>-707.82853993253991</v>
      </c>
      <c r="AP44" s="682">
        <f t="shared" si="3"/>
        <v>-700.79773060455466</v>
      </c>
      <c r="AQ44" s="682">
        <f t="shared" si="3"/>
        <v>-693.76655970639627</v>
      </c>
      <c r="AR44" s="682">
        <f t="shared" si="3"/>
        <v>-686.73492466319749</v>
      </c>
      <c r="AS44" s="682">
        <f t="shared" si="3"/>
        <v>-679.70272387725242</v>
      </c>
      <c r="AT44" s="682">
        <f t="shared" si="3"/>
        <v>-672.6698567211655</v>
      </c>
      <c r="AU44" s="682">
        <f t="shared" si="3"/>
        <v>-665.63622353104108</v>
      </c>
      <c r="AV44" s="428">
        <f t="shared" si="3"/>
        <v>-658.60172559971829</v>
      </c>
    </row>
    <row r="45" spans="1:48" s="39" customFormat="1" ht="13.5" outlineLevel="1" x14ac:dyDescent="0.25">
      <c r="B45" s="689" t="s">
        <v>1114</v>
      </c>
      <c r="C45" s="693" t="s">
        <v>1243</v>
      </c>
      <c r="D45" s="710">
        <f>D43+D44</f>
        <v>0</v>
      </c>
      <c r="E45" s="710">
        <f t="shared" ref="E45:AV45" si="4">E43+E44</f>
        <v>-304.35979605057753</v>
      </c>
      <c r="F45" s="710">
        <f t="shared" si="4"/>
        <v>-599.69495691568886</v>
      </c>
      <c r="G45" s="710">
        <f t="shared" si="4"/>
        <v>-867.16480997279655</v>
      </c>
      <c r="H45" s="710">
        <f t="shared" si="4"/>
        <v>-1107.9046961288304</v>
      </c>
      <c r="I45" s="710">
        <f t="shared" si="4"/>
        <v>-1323.0263290923035</v>
      </c>
      <c r="J45" s="710">
        <f t="shared" si="4"/>
        <v>-1278.0151259543752</v>
      </c>
      <c r="K45" s="710">
        <f t="shared" si="4"/>
        <v>-1214.8183467176609</v>
      </c>
      <c r="L45" s="710">
        <f t="shared" si="4"/>
        <v>-1153.4074278533189</v>
      </c>
      <c r="M45" s="710">
        <f t="shared" si="4"/>
        <v>-1093.7541533976305</v>
      </c>
      <c r="N45" s="710">
        <f t="shared" si="4"/>
        <v>-1068.900286541842</v>
      </c>
      <c r="O45" s="710">
        <f t="shared" si="4"/>
        <v>-1044.863242334648</v>
      </c>
      <c r="P45" s="710">
        <f t="shared" si="4"/>
        <v>-1021.6256478267012</v>
      </c>
      <c r="Q45" s="710">
        <f t="shared" si="4"/>
        <v>-999.17046328929064</v>
      </c>
      <c r="R45" s="710">
        <f t="shared" si="4"/>
        <v>-977.48097602476344</v>
      </c>
      <c r="S45" s="710">
        <f t="shared" si="4"/>
        <v>-956.54079429065041</v>
      </c>
      <c r="T45" s="710">
        <f t="shared" si="4"/>
        <v>-936.33384133541858</v>
      </c>
      <c r="U45" s="710">
        <f t="shared" si="4"/>
        <v>-916.8443495438039</v>
      </c>
      <c r="V45" s="710">
        <f t="shared" si="4"/>
        <v>-898.05685468972035</v>
      </c>
      <c r="W45" s="710">
        <f t="shared" si="4"/>
        <v>-879.95619029477393</v>
      </c>
      <c r="X45" s="710">
        <f t="shared" si="4"/>
        <v>-862.52748209045012</v>
      </c>
      <c r="Y45" s="710">
        <f t="shared" si="4"/>
        <v>-845.75614258207611</v>
      </c>
      <c r="Z45" s="710">
        <f t="shared" si="4"/>
        <v>-829.62786571269419</v>
      </c>
      <c r="AA45" s="710">
        <f t="shared" si="4"/>
        <v>-814.12862162501619</v>
      </c>
      <c r="AB45" s="710">
        <f t="shared" si="4"/>
        <v>-799.24465151966638</v>
      </c>
      <c r="AC45" s="710">
        <f t="shared" si="4"/>
        <v>-792.20875094138341</v>
      </c>
      <c r="AD45" s="710">
        <f t="shared" si="4"/>
        <v>-785.1739143852883</v>
      </c>
      <c r="AE45" s="710">
        <f t="shared" si="4"/>
        <v>-778.14002592988254</v>
      </c>
      <c r="AF45" s="710">
        <f t="shared" si="4"/>
        <v>-771.10697072392827</v>
      </c>
      <c r="AG45" s="710">
        <f t="shared" si="4"/>
        <v>-764.07463497901529</v>
      </c>
      <c r="AH45" s="710">
        <f t="shared" si="4"/>
        <v>-757.04290596217254</v>
      </c>
      <c r="AI45" s="710">
        <f t="shared" si="4"/>
        <v>-750.01167198852841</v>
      </c>
      <c r="AJ45" s="710">
        <f t="shared" si="4"/>
        <v>-742.98082241401437</v>
      </c>
      <c r="AK45" s="710">
        <f t="shared" si="4"/>
        <v>-735.95024762811477</v>
      </c>
      <c r="AL45" s="710">
        <f t="shared" si="4"/>
        <v>-728.91983904666426</v>
      </c>
      <c r="AM45" s="710">
        <f t="shared" si="4"/>
        <v>-721.88948910468548</v>
      </c>
      <c r="AN45" s="710">
        <f t="shared" si="4"/>
        <v>-714.85909124927707</v>
      </c>
      <c r="AO45" s="710">
        <f t="shared" si="4"/>
        <v>-707.82853993253991</v>
      </c>
      <c r="AP45" s="710">
        <f t="shared" si="4"/>
        <v>-700.79773060455466</v>
      </c>
      <c r="AQ45" s="710">
        <f t="shared" si="4"/>
        <v>-693.76655970639627</v>
      </c>
      <c r="AR45" s="710">
        <f t="shared" si="4"/>
        <v>-686.73492466319749</v>
      </c>
      <c r="AS45" s="710">
        <f t="shared" si="4"/>
        <v>-679.70272387725242</v>
      </c>
      <c r="AT45" s="710">
        <f t="shared" si="4"/>
        <v>-672.6698567211655</v>
      </c>
      <c r="AU45" s="710">
        <f t="shared" si="4"/>
        <v>-665.63622353104108</v>
      </c>
      <c r="AV45" s="426">
        <f t="shared" si="4"/>
        <v>-658.60172559971829</v>
      </c>
    </row>
    <row r="46" spans="1:48" s="15" customFormat="1" ht="13.5" outlineLevel="1" x14ac:dyDescent="0.25">
      <c r="B46" s="817" t="s">
        <v>1282</v>
      </c>
      <c r="C46" s="818" t="s">
        <v>1283</v>
      </c>
      <c r="D46" s="675">
        <v>0</v>
      </c>
      <c r="E46" s="677">
        <f>D46+E42*SISENDID!$E$272*$C$10/$C$8</f>
        <v>1.3320000000000001</v>
      </c>
      <c r="F46" s="677">
        <f>E46+F42*SISENDID!$E$272*$C$10/$C$8</f>
        <v>2.6640000000000001</v>
      </c>
      <c r="G46" s="677">
        <f>F46+G42*SISENDID!$E$272*$C$10/$C$8</f>
        <v>3.9960000000000004</v>
      </c>
      <c r="H46" s="677">
        <f>G46+H42*SISENDID!$E$272*$C$10/$C$8</f>
        <v>5.3280000000000003</v>
      </c>
      <c r="I46" s="677">
        <f>H46+I42*SISENDID!$E$272*$C$10/$C$8</f>
        <v>6.66</v>
      </c>
      <c r="J46" s="677">
        <f>I46+J42*SISENDID!$E$272*$C$10/$C$8</f>
        <v>6.66</v>
      </c>
      <c r="K46" s="677">
        <f>J46+K42*SISENDID!$E$272*$C$10/$C$8</f>
        <v>6.66</v>
      </c>
      <c r="L46" s="677">
        <f>K46+L42*SISENDID!$E$272*$C$10/$C$8</f>
        <v>6.66</v>
      </c>
      <c r="M46" s="677">
        <f>L46+M42*SISENDID!$E$272*$C$10/$C$8</f>
        <v>6.66</v>
      </c>
      <c r="N46" s="677">
        <f>M46+N42*SISENDID!$E$272*$C$10/$C$8</f>
        <v>6.66</v>
      </c>
      <c r="O46" s="677">
        <f>N46+O42*SISENDID!$E$272*$C$10/$C$8</f>
        <v>6.66</v>
      </c>
      <c r="P46" s="677">
        <f>O46+P42*SISENDID!$E$272*$C$10/$C$8</f>
        <v>6.66</v>
      </c>
      <c r="Q46" s="677">
        <f>P46+Q42*SISENDID!$E$272*$C$10/$C$8</f>
        <v>6.66</v>
      </c>
      <c r="R46" s="677">
        <f>Q46+R42*SISENDID!$E$272*$C$10/$C$8</f>
        <v>6.66</v>
      </c>
      <c r="S46" s="677">
        <f>R46+S42*SISENDID!$E$272*$C$10/$C$8</f>
        <v>6.66</v>
      </c>
      <c r="T46" s="677">
        <f>S46+T42*SISENDID!$E$272*$C$10/$C$8</f>
        <v>6.66</v>
      </c>
      <c r="U46" s="677">
        <f>T46+U42*SISENDID!$E$272*$C$10/$C$8</f>
        <v>6.66</v>
      </c>
      <c r="V46" s="677">
        <f>U46+V42*SISENDID!$E$272*$C$10/$C$8</f>
        <v>6.66</v>
      </c>
      <c r="W46" s="677">
        <f>V46+W42*SISENDID!$E$272*$C$10/$C$8</f>
        <v>6.66</v>
      </c>
      <c r="X46" s="677">
        <f>W46+X42*SISENDID!$E$272*$C$10/$C$8</f>
        <v>6.66</v>
      </c>
      <c r="Y46" s="677">
        <f>X46+Y42*SISENDID!$E$272*$C$10/$C$8</f>
        <v>6.66</v>
      </c>
      <c r="Z46" s="677">
        <f>Y46+Z42*SISENDID!$E$272*$C$10/$C$8</f>
        <v>6.66</v>
      </c>
      <c r="AA46" s="677">
        <f>Z46+AA42*SISENDID!$E$272*$C$10/$C$8</f>
        <v>6.66</v>
      </c>
      <c r="AB46" s="677">
        <f>AA46+AB42*SISENDID!$E$272*$C$10/$C$8</f>
        <v>6.66</v>
      </c>
      <c r="AC46" s="677">
        <f>AB46+AC42*SISENDID!$E$272*$C$10/$C$8</f>
        <v>6.66</v>
      </c>
      <c r="AD46" s="677">
        <f>AC46+AD42*SISENDID!$E$272*$C$10/$C$8</f>
        <v>6.66</v>
      </c>
      <c r="AE46" s="677">
        <f>AD46+AE42*SISENDID!$E$272*$C$10/$C$8</f>
        <v>6.66</v>
      </c>
      <c r="AF46" s="677">
        <f>AE46+AF42*SISENDID!$E$272*$C$10/$C$8</f>
        <v>6.66</v>
      </c>
      <c r="AG46" s="677">
        <f>AF46+AG42*SISENDID!$E$272*$C$10/$C$8</f>
        <v>6.66</v>
      </c>
      <c r="AH46" s="677">
        <f>AG46+AH42*SISENDID!$E$272*$C$10/$C$8</f>
        <v>6.66</v>
      </c>
      <c r="AI46" s="677">
        <f>AH46+AI42*SISENDID!$E$272*$C$10/$C$8</f>
        <v>6.66</v>
      </c>
      <c r="AJ46" s="677">
        <f>AI46+AJ42*SISENDID!$E$272*$C$10/$C$8</f>
        <v>6.66</v>
      </c>
      <c r="AK46" s="677">
        <f>AJ46+AK42*SISENDID!$E$272*$C$10/$C$8</f>
        <v>6.66</v>
      </c>
      <c r="AL46" s="677">
        <f>AK46+AL42*SISENDID!$E$272*$C$10/$C$8</f>
        <v>6.66</v>
      </c>
      <c r="AM46" s="677">
        <f>AL46+AM42*SISENDID!$E$272*$C$10/$C$8</f>
        <v>6.66</v>
      </c>
      <c r="AN46" s="677">
        <f>AM46+AN42*SISENDID!$E$272*$C$10/$C$8</f>
        <v>6.66</v>
      </c>
      <c r="AO46" s="677">
        <f>AN46+AO42*SISENDID!$E$272*$C$10/$C$8</f>
        <v>6.66</v>
      </c>
      <c r="AP46" s="677">
        <f>AO46+AP42*SISENDID!$E$272*$C$10/$C$8</f>
        <v>6.66</v>
      </c>
      <c r="AQ46" s="677">
        <f>AP46+AQ42*SISENDID!$E$272*$C$10/$C$8</f>
        <v>6.66</v>
      </c>
      <c r="AR46" s="677">
        <f>AQ46+AR42*SISENDID!$E$272*$C$10/$C$8</f>
        <v>6.66</v>
      </c>
      <c r="AS46" s="677">
        <f>AR46+AS42*SISENDID!$E$272*$C$10/$C$8</f>
        <v>6.66</v>
      </c>
      <c r="AT46" s="677">
        <f>AS46+AT42*SISENDID!$E$272*$C$10/$C$8</f>
        <v>6.66</v>
      </c>
      <c r="AU46" s="677">
        <f>AT46+AU42*SISENDID!$E$272*$C$10/$C$8</f>
        <v>6.66</v>
      </c>
      <c r="AV46" s="819">
        <f>AU46+AV42*SISENDID!$E$272*$C$10/$C$8</f>
        <v>6.66</v>
      </c>
    </row>
    <row r="47" spans="1:48" s="15" customFormat="1" ht="13.5" outlineLevel="1" x14ac:dyDescent="0.25">
      <c r="B47" s="817" t="s">
        <v>1284</v>
      </c>
      <c r="C47" s="818" t="s">
        <v>1283</v>
      </c>
      <c r="D47" s="677">
        <f>D46*$C$11/$C$13</f>
        <v>0</v>
      </c>
      <c r="E47" s="677">
        <f>E46*$C$11/$C$13</f>
        <v>0.47571428571428576</v>
      </c>
      <c r="F47" s="677">
        <f t="shared" ref="F47:AV47" si="5">F46*$C$11/$C$13</f>
        <v>0.95142857142857151</v>
      </c>
      <c r="G47" s="677">
        <f t="shared" si="5"/>
        <v>1.4271428571428575</v>
      </c>
      <c r="H47" s="677">
        <f t="shared" si="5"/>
        <v>1.902857142857143</v>
      </c>
      <c r="I47" s="677">
        <f t="shared" si="5"/>
        <v>2.3785714285714286</v>
      </c>
      <c r="J47" s="677">
        <f t="shared" si="5"/>
        <v>2.3785714285714286</v>
      </c>
      <c r="K47" s="677">
        <f t="shared" si="5"/>
        <v>2.3785714285714286</v>
      </c>
      <c r="L47" s="677">
        <f t="shared" si="5"/>
        <v>2.3785714285714286</v>
      </c>
      <c r="M47" s="677">
        <f t="shared" si="5"/>
        <v>2.3785714285714286</v>
      </c>
      <c r="N47" s="677">
        <f t="shared" si="5"/>
        <v>2.3785714285714286</v>
      </c>
      <c r="O47" s="677">
        <f t="shared" si="5"/>
        <v>2.3785714285714286</v>
      </c>
      <c r="P47" s="677">
        <f t="shared" si="5"/>
        <v>2.3785714285714286</v>
      </c>
      <c r="Q47" s="677">
        <f t="shared" si="5"/>
        <v>2.3785714285714286</v>
      </c>
      <c r="R47" s="677">
        <f t="shared" si="5"/>
        <v>2.3785714285714286</v>
      </c>
      <c r="S47" s="677">
        <f t="shared" si="5"/>
        <v>2.3785714285714286</v>
      </c>
      <c r="T47" s="677">
        <f t="shared" si="5"/>
        <v>2.3785714285714286</v>
      </c>
      <c r="U47" s="677">
        <f t="shared" si="5"/>
        <v>2.3785714285714286</v>
      </c>
      <c r="V47" s="677">
        <f t="shared" si="5"/>
        <v>2.3785714285714286</v>
      </c>
      <c r="W47" s="677">
        <f t="shared" si="5"/>
        <v>2.3785714285714286</v>
      </c>
      <c r="X47" s="677">
        <f t="shared" si="5"/>
        <v>2.3785714285714286</v>
      </c>
      <c r="Y47" s="677">
        <f t="shared" si="5"/>
        <v>2.3785714285714286</v>
      </c>
      <c r="Z47" s="677">
        <f t="shared" si="5"/>
        <v>2.3785714285714286</v>
      </c>
      <c r="AA47" s="677">
        <f t="shared" si="5"/>
        <v>2.3785714285714286</v>
      </c>
      <c r="AB47" s="677">
        <f t="shared" si="5"/>
        <v>2.3785714285714286</v>
      </c>
      <c r="AC47" s="677">
        <f t="shared" si="5"/>
        <v>2.3785714285714286</v>
      </c>
      <c r="AD47" s="677">
        <f t="shared" si="5"/>
        <v>2.3785714285714286</v>
      </c>
      <c r="AE47" s="677">
        <f t="shared" si="5"/>
        <v>2.3785714285714286</v>
      </c>
      <c r="AF47" s="677">
        <f t="shared" si="5"/>
        <v>2.3785714285714286</v>
      </c>
      <c r="AG47" s="677">
        <f t="shared" si="5"/>
        <v>2.3785714285714286</v>
      </c>
      <c r="AH47" s="677">
        <f t="shared" si="5"/>
        <v>2.3785714285714286</v>
      </c>
      <c r="AI47" s="677">
        <f t="shared" si="5"/>
        <v>2.3785714285714286</v>
      </c>
      <c r="AJ47" s="677">
        <f t="shared" si="5"/>
        <v>2.3785714285714286</v>
      </c>
      <c r="AK47" s="677">
        <f t="shared" si="5"/>
        <v>2.3785714285714286</v>
      </c>
      <c r="AL47" s="677">
        <f t="shared" si="5"/>
        <v>2.3785714285714286</v>
      </c>
      <c r="AM47" s="677">
        <f t="shared" si="5"/>
        <v>2.3785714285714286</v>
      </c>
      <c r="AN47" s="677">
        <f t="shared" si="5"/>
        <v>2.3785714285714286</v>
      </c>
      <c r="AO47" s="677">
        <f t="shared" si="5"/>
        <v>2.3785714285714286</v>
      </c>
      <c r="AP47" s="677">
        <f t="shared" si="5"/>
        <v>2.3785714285714286</v>
      </c>
      <c r="AQ47" s="677">
        <f t="shared" si="5"/>
        <v>2.3785714285714286</v>
      </c>
      <c r="AR47" s="677">
        <f t="shared" si="5"/>
        <v>2.3785714285714286</v>
      </c>
      <c r="AS47" s="677">
        <f t="shared" si="5"/>
        <v>2.3785714285714286</v>
      </c>
      <c r="AT47" s="677">
        <f t="shared" si="5"/>
        <v>2.3785714285714286</v>
      </c>
      <c r="AU47" s="677">
        <f t="shared" si="5"/>
        <v>2.3785714285714286</v>
      </c>
      <c r="AV47" s="819">
        <f t="shared" si="5"/>
        <v>2.3785714285714286</v>
      </c>
    </row>
    <row r="48" spans="1:48" s="15" customFormat="1" ht="13.5" outlineLevel="1" x14ac:dyDescent="0.25">
      <c r="B48" s="817" t="s">
        <v>1284</v>
      </c>
      <c r="C48" s="818" t="s">
        <v>657</v>
      </c>
      <c r="D48" s="675">
        <f>D47*$C$12*1000</f>
        <v>0</v>
      </c>
      <c r="E48" s="675">
        <f t="shared" ref="E48:J48" si="6">E47*$C$12*1000</f>
        <v>2378.5714285714289</v>
      </c>
      <c r="F48" s="675">
        <f t="shared" si="6"/>
        <v>4757.1428571428578</v>
      </c>
      <c r="G48" s="675">
        <f t="shared" si="6"/>
        <v>7135.7142857142881</v>
      </c>
      <c r="H48" s="675">
        <f t="shared" si="6"/>
        <v>9514.2857142857156</v>
      </c>
      <c r="I48" s="675">
        <f t="shared" si="6"/>
        <v>11892.857142857143</v>
      </c>
      <c r="J48" s="675">
        <f t="shared" si="6"/>
        <v>11892.857142857143</v>
      </c>
      <c r="K48" s="675">
        <f t="shared" ref="K48" si="7">K47*$C$12*1000</f>
        <v>11892.857142857143</v>
      </c>
      <c r="L48" s="675">
        <f t="shared" ref="L48" si="8">L47*$C$12*1000</f>
        <v>11892.857142857143</v>
      </c>
      <c r="M48" s="675">
        <f t="shared" ref="M48" si="9">M47*$C$12*1000</f>
        <v>11892.857142857143</v>
      </c>
      <c r="N48" s="675">
        <f t="shared" ref="N48" si="10">N47*$C$12*1000</f>
        <v>11892.857142857143</v>
      </c>
      <c r="O48" s="675">
        <f t="shared" ref="O48" si="11">O47*$C$12*1000</f>
        <v>11892.857142857143</v>
      </c>
      <c r="P48" s="675">
        <f t="shared" ref="P48" si="12">P47*$C$12*1000</f>
        <v>11892.857142857143</v>
      </c>
      <c r="Q48" s="675">
        <f t="shared" ref="Q48" si="13">Q47*$C$12*1000</f>
        <v>11892.857142857143</v>
      </c>
      <c r="R48" s="675">
        <f t="shared" ref="R48" si="14">R47*$C$12*1000</f>
        <v>11892.857142857143</v>
      </c>
      <c r="S48" s="675">
        <f t="shared" ref="S48" si="15">S47*$C$12*1000</f>
        <v>11892.857142857143</v>
      </c>
      <c r="T48" s="675">
        <f t="shared" ref="T48" si="16">T47*$C$12*1000</f>
        <v>11892.857142857143</v>
      </c>
      <c r="U48" s="675">
        <f t="shared" ref="U48" si="17">U47*$C$12*1000</f>
        <v>11892.857142857143</v>
      </c>
      <c r="V48" s="675">
        <f t="shared" ref="V48" si="18">V47*$C$12*1000</f>
        <v>11892.857142857143</v>
      </c>
      <c r="W48" s="675">
        <f t="shared" ref="W48" si="19">W47*$C$12*1000</f>
        <v>11892.857142857143</v>
      </c>
      <c r="X48" s="675">
        <f t="shared" ref="X48" si="20">X47*$C$12*1000</f>
        <v>11892.857142857143</v>
      </c>
      <c r="Y48" s="675">
        <f t="shared" ref="Y48" si="21">Y47*$C$12*1000</f>
        <v>11892.857142857143</v>
      </c>
      <c r="Z48" s="675">
        <f t="shared" ref="Z48" si="22">Z47*$C$12*1000</f>
        <v>11892.857142857143</v>
      </c>
      <c r="AA48" s="675">
        <f t="shared" ref="AA48" si="23">AA47*$C$12*1000</f>
        <v>11892.857142857143</v>
      </c>
      <c r="AB48" s="675">
        <f t="shared" ref="AB48" si="24">AB47*$C$12*1000</f>
        <v>11892.857142857143</v>
      </c>
      <c r="AC48" s="675">
        <f t="shared" ref="AC48" si="25">AC47*$C$12*1000</f>
        <v>11892.857142857143</v>
      </c>
      <c r="AD48" s="675">
        <f t="shared" ref="AD48" si="26">AD47*$C$12*1000</f>
        <v>11892.857142857143</v>
      </c>
      <c r="AE48" s="675">
        <f t="shared" ref="AE48" si="27">AE47*$C$12*1000</f>
        <v>11892.857142857143</v>
      </c>
      <c r="AF48" s="675">
        <f t="shared" ref="AF48" si="28">AF47*$C$12*1000</f>
        <v>11892.857142857143</v>
      </c>
      <c r="AG48" s="675">
        <f t="shared" ref="AG48" si="29">AG47*$C$12*1000</f>
        <v>11892.857142857143</v>
      </c>
      <c r="AH48" s="675">
        <f t="shared" ref="AH48" si="30">AH47*$C$12*1000</f>
        <v>11892.857142857143</v>
      </c>
      <c r="AI48" s="675">
        <f t="shared" ref="AI48" si="31">AI47*$C$12*1000</f>
        <v>11892.857142857143</v>
      </c>
      <c r="AJ48" s="675">
        <f t="shared" ref="AJ48" si="32">AJ47*$C$12*1000</f>
        <v>11892.857142857143</v>
      </c>
      <c r="AK48" s="675">
        <f t="shared" ref="AK48" si="33">AK47*$C$12*1000</f>
        <v>11892.857142857143</v>
      </c>
      <c r="AL48" s="675">
        <f t="shared" ref="AL48" si="34">AL47*$C$12*1000</f>
        <v>11892.857142857143</v>
      </c>
      <c r="AM48" s="675">
        <f t="shared" ref="AM48" si="35">AM47*$C$12*1000</f>
        <v>11892.857142857143</v>
      </c>
      <c r="AN48" s="675">
        <f t="shared" ref="AN48" si="36">AN47*$C$12*1000</f>
        <v>11892.857142857143</v>
      </c>
      <c r="AO48" s="675">
        <f t="shared" ref="AO48" si="37">AO47*$C$12*1000</f>
        <v>11892.857142857143</v>
      </c>
      <c r="AP48" s="675">
        <f t="shared" ref="AP48" si="38">AP47*$C$12*1000</f>
        <v>11892.857142857143</v>
      </c>
      <c r="AQ48" s="675">
        <f t="shared" ref="AQ48" si="39">AQ47*$C$12*1000</f>
        <v>11892.857142857143</v>
      </c>
      <c r="AR48" s="675">
        <f t="shared" ref="AR48" si="40">AR47*$C$12*1000</f>
        <v>11892.857142857143</v>
      </c>
      <c r="AS48" s="675">
        <f t="shared" ref="AS48" si="41">AS47*$C$12*1000</f>
        <v>11892.857142857143</v>
      </c>
      <c r="AT48" s="675">
        <f t="shared" ref="AT48" si="42">AT47*$C$12*1000</f>
        <v>11892.857142857143</v>
      </c>
      <c r="AU48" s="675">
        <f t="shared" ref="AU48" si="43">AU47*$C$12*1000</f>
        <v>11892.857142857143</v>
      </c>
      <c r="AV48" s="676">
        <f t="shared" ref="AV48" si="44">AV47*$C$12*1000</f>
        <v>11892.857142857143</v>
      </c>
    </row>
    <row r="49" spans="2:48" s="15" customFormat="1" ht="13.5" outlineLevel="1" x14ac:dyDescent="0.25">
      <c r="B49" s="817" t="s">
        <v>1285</v>
      </c>
      <c r="C49" s="818" t="s">
        <v>1286</v>
      </c>
      <c r="D49" s="675">
        <f>D$48/100*SISENDID!F261</f>
        <v>0</v>
      </c>
      <c r="E49" s="675">
        <f>E$48/100*SISENDID!G261</f>
        <v>128.27953756565904</v>
      </c>
      <c r="F49" s="675">
        <f>F$48/100*SISENDID!H261</f>
        <v>238.25777213112298</v>
      </c>
      <c r="G49" s="675">
        <f>G$48/100*SISENDID!I261</f>
        <v>330.47613259613985</v>
      </c>
      <c r="H49" s="675">
        <f>H$48/100*SISENDID!J261</f>
        <v>405.46534623079646</v>
      </c>
      <c r="I49" s="675">
        <f>I$48/100*SISENDID!K261</f>
        <v>463.74559795773592</v>
      </c>
      <c r="J49" s="675">
        <f>J$48/100*SISENDID!L261</f>
        <v>421.52224006991491</v>
      </c>
      <c r="K49" s="675">
        <f>K$48/100*SISENDID!M261</f>
        <v>380.14870605512726</v>
      </c>
      <c r="L49" s="675">
        <f>L$48/100*SISENDID!N261</f>
        <v>339.61224824010304</v>
      </c>
      <c r="M49" s="675">
        <f>M$48/100*SISENDID!O261</f>
        <v>299.90027304769171</v>
      </c>
      <c r="N49" s="675">
        <f>N$48/100*SISENDID!P261</f>
        <v>284.04497667293202</v>
      </c>
      <c r="O49" s="675">
        <f>O$48/100*SISENDID!Q261</f>
        <v>268.57257214788075</v>
      </c>
      <c r="P49" s="675">
        <f>P$48/100*SISENDID!R261</f>
        <v>253.47527856911751</v>
      </c>
      <c r="Q49" s="675">
        <f>Q$48/100*SISENDID!S261</f>
        <v>238.74546328716903</v>
      </c>
      <c r="R49" s="675">
        <f>R$48/100*SISENDID!T261</f>
        <v>224.37563915521559</v>
      </c>
      <c r="S49" s="675">
        <f>S$48/100*SISENDID!U261</f>
        <v>210.3584618283333</v>
      </c>
      <c r="T49" s="675">
        <f>T$48/100*SISENDID!V261</f>
        <v>196.68672711234888</v>
      </c>
      <c r="U49" s="675">
        <f>U$48/100*SISENDID!W261</f>
        <v>183.35336836139786</v>
      </c>
      <c r="V49" s="675">
        <f>V$48/100*SISENDID!X261</f>
        <v>170.35145392329511</v>
      </c>
      <c r="W49" s="675">
        <f>W$48/100*SISENDID!Y261</f>
        <v>157.67418463184157</v>
      </c>
      <c r="X49" s="675">
        <f>X$48/100*SISENDID!Z261</f>
        <v>145.31489134520919</v>
      </c>
      <c r="Y49" s="675">
        <f>Y$48/100*SISENDID!AA261</f>
        <v>133.26703252955937</v>
      </c>
      <c r="Z49" s="675">
        <f>Z$48/100*SISENDID!AB261</f>
        <v>121.52419188706733</v>
      </c>
      <c r="AA49" s="675">
        <f>AA$48/100*SISENDID!AC261</f>
        <v>110.08007602753932</v>
      </c>
      <c r="AB49" s="675">
        <f>AB$48/100*SISENDID!AD261</f>
        <v>98.928512182824633</v>
      </c>
      <c r="AC49" s="675">
        <f>AC$48/100*SISENDID!AE261</f>
        <v>93.935721439387251</v>
      </c>
      <c r="AD49" s="675">
        <f>AD$48/100*SISENDID!AF261</f>
        <v>88.948030860722469</v>
      </c>
      <c r="AE49" s="675">
        <f>AE$48/100*SISENDID!AG261</f>
        <v>83.965402805662009</v>
      </c>
      <c r="AF49" s="675">
        <f>AF$48/100*SISENDID!AH261</f>
        <v>78.987799881945193</v>
      </c>
      <c r="AG49" s="675">
        <f>AG$48/100*SISENDID!AI261</f>
        <v>74.015184944670935</v>
      </c>
      <c r="AH49" s="675">
        <f>AH$48/100*SISENDID!AJ261</f>
        <v>69.047521094758707</v>
      </c>
      <c r="AI49" s="675">
        <f>AI$48/100*SISENDID!AK261</f>
        <v>64.084771677419283</v>
      </c>
      <c r="AJ49" s="675">
        <f>AJ$48/100*SISENDID!AL261</f>
        <v>59.126900280634068</v>
      </c>
      <c r="AK49" s="675">
        <f>AK$48/100*SISENDID!AM261</f>
        <v>54.173870733643852</v>
      </c>
      <c r="AL49" s="675">
        <f>AL$48/100*SISENDID!AN261</f>
        <v>49.225647105446519</v>
      </c>
      <c r="AM49" s="675">
        <f>AM$48/100*SISENDID!AO261</f>
        <v>44.282193703303697</v>
      </c>
      <c r="AN49" s="675">
        <f>AN$48/100*SISENDID!AP261</f>
        <v>39.343475071256471</v>
      </c>
      <c r="AO49" s="675">
        <f>AO$48/100*SISENDID!AQ261</f>
        <v>34.409455988649825</v>
      </c>
      <c r="AP49" s="675">
        <f>AP$48/100*SISENDID!AR261</f>
        <v>29.48010146866606</v>
      </c>
      <c r="AQ49" s="675">
        <f>AQ$48/100*SISENDID!AS261</f>
        <v>24.555376756866913</v>
      </c>
      <c r="AR49" s="675">
        <f>AR$48/100*SISENDID!AT261</f>
        <v>19.635247329744438</v>
      </c>
      <c r="AS49" s="675">
        <f>AS$48/100*SISENDID!AU261</f>
        <v>14.719678893280573</v>
      </c>
      <c r="AT49" s="675">
        <f>AT$48/100*SISENDID!AV261</f>
        <v>9.8086373815153038</v>
      </c>
      <c r="AU49" s="675">
        <f>AU$48/100*SISENDID!AW261</f>
        <v>4.9020889551234657</v>
      </c>
      <c r="AV49" s="676">
        <f>AV$48/100*SISENDID!AX261</f>
        <v>0</v>
      </c>
    </row>
    <row r="50" spans="2:48" s="15" customFormat="1" ht="13.5" outlineLevel="1" x14ac:dyDescent="0.25">
      <c r="B50" s="817" t="s">
        <v>1285</v>
      </c>
      <c r="C50" s="818" t="s">
        <v>659</v>
      </c>
      <c r="D50" s="675">
        <f>D49*SISENDID!$E$418</f>
        <v>0</v>
      </c>
      <c r="E50" s="675">
        <f>E49*SISENDID!$E$418</f>
        <v>1269.7365187324062</v>
      </c>
      <c r="F50" s="675">
        <f>F49*SISENDID!$E$418</f>
        <v>2358.3230801082814</v>
      </c>
      <c r="G50" s="675">
        <f>G49*SISENDID!$E$418</f>
        <v>3271.1188556631114</v>
      </c>
      <c r="H50" s="675">
        <f>H49*SISENDID!$E$418</f>
        <v>4013.3770900616692</v>
      </c>
      <c r="I50" s="675">
        <f>I49*SISENDID!$E$418</f>
        <v>4590.2466777052614</v>
      </c>
      <c r="J50" s="675">
        <f>J49*SISENDID!$E$418</f>
        <v>4172.3114366600312</v>
      </c>
      <c r="K50" s="675">
        <f>K49*SISENDID!$E$418</f>
        <v>3762.7879222748602</v>
      </c>
      <c r="L50" s="675">
        <f>L49*SISENDID!$E$418</f>
        <v>3361.5499555301876</v>
      </c>
      <c r="M50" s="675">
        <f>M49*SISENDID!$E$418</f>
        <v>2968.4728826806618</v>
      </c>
      <c r="N50" s="675">
        <f>N49*SISENDID!$E$418</f>
        <v>2811.5339881040154</v>
      </c>
      <c r="O50" s="675">
        <f>O49*SISENDID!$E$418</f>
        <v>2658.3850336341529</v>
      </c>
      <c r="P50" s="675">
        <f>P49*SISENDID!$E$418</f>
        <v>2508.9490023328385</v>
      </c>
      <c r="Q50" s="675">
        <f>Q49*SISENDID!$E$418</f>
        <v>2363.1503447090563</v>
      </c>
      <c r="R50" s="675">
        <f>R49*SISENDID!$E$418</f>
        <v>2220.9149514861547</v>
      </c>
      <c r="S50" s="675">
        <f>S49*SISENDID!$E$418</f>
        <v>2082.1701268692086</v>
      </c>
      <c r="T50" s="675">
        <f>T49*SISENDID!$E$418</f>
        <v>1946.8445623034515</v>
      </c>
      <c r="U50" s="675">
        <f>U49*SISENDID!$E$418</f>
        <v>1814.8683107147881</v>
      </c>
      <c r="V50" s="675">
        <f>V49*SISENDID!$E$418</f>
        <v>1686.1727612235595</v>
      </c>
      <c r="W50" s="675">
        <f>W49*SISENDID!$E$418</f>
        <v>1560.6906143228941</v>
      </c>
      <c r="X50" s="675">
        <f>X49*SISENDID!$E$418</f>
        <v>1438.3558575131494</v>
      </c>
      <c r="Y50" s="675">
        <f>Y49*SISENDID!$E$418</f>
        <v>1319.1037413840845</v>
      </c>
      <c r="Z50" s="675">
        <f>Z49*SISENDID!$E$418</f>
        <v>1202.8707561365698</v>
      </c>
      <c r="AA50" s="675">
        <f>AA49*SISENDID!$E$418</f>
        <v>1089.5946085357896</v>
      </c>
      <c r="AB50" s="675">
        <f>AB49*SISENDID!$E$418</f>
        <v>979.21419928803471</v>
      </c>
      <c r="AC50" s="675">
        <f>AC49*SISENDID!$E$418</f>
        <v>929.79455795134277</v>
      </c>
      <c r="AD50" s="675">
        <f>AD49*SISENDID!$E$418</f>
        <v>880.42539906560307</v>
      </c>
      <c r="AE50" s="675">
        <f>AE49*SISENDID!$E$418</f>
        <v>831.10635005100369</v>
      </c>
      <c r="AF50" s="675">
        <f>AF49*SISENDID!$E$418</f>
        <v>781.8370407914698</v>
      </c>
      <c r="AG50" s="675">
        <f>AG49*SISENDID!$E$418</f>
        <v>732.61710361934183</v>
      </c>
      <c r="AH50" s="675">
        <f>AH49*SISENDID!$E$418</f>
        <v>683.44617330014057</v>
      </c>
      <c r="AI50" s="675">
        <f>AI49*SISENDID!$E$418</f>
        <v>634.3238870174315</v>
      </c>
      <c r="AJ50" s="675">
        <f>AJ49*SISENDID!$E$418</f>
        <v>585.24988435777209</v>
      </c>
      <c r="AK50" s="675">
        <f>AK49*SISENDID!$E$418</f>
        <v>536.22380729575355</v>
      </c>
      <c r="AL50" s="675">
        <f>AL49*SISENDID!$E$418</f>
        <v>487.24530017913071</v>
      </c>
      <c r="AM50" s="675">
        <f>AM49*SISENDID!$E$418</f>
        <v>438.31400971404065</v>
      </c>
      <c r="AN50" s="675">
        <f>AN49*SISENDID!$E$418</f>
        <v>389.42958495031075</v>
      </c>
      <c r="AO50" s="675">
        <f>AO49*SISENDID!$E$418</f>
        <v>340.59167726685365</v>
      </c>
      <c r="AP50" s="675">
        <f>AP49*SISENDID!$E$418</f>
        <v>291.79994035715038</v>
      </c>
      <c r="AQ50" s="675">
        <f>AQ49*SISENDID!$E$418</f>
        <v>243.05403021482005</v>
      </c>
      <c r="AR50" s="675">
        <f>AR49*SISENDID!$E$418</f>
        <v>194.35360511927638</v>
      </c>
      <c r="AS50" s="675">
        <f>AS49*SISENDID!$E$418</f>
        <v>145.69832562146976</v>
      </c>
      <c r="AT50" s="675">
        <f>AT49*SISENDID!$E$418</f>
        <v>97.087854529714775</v>
      </c>
      <c r="AU50" s="675">
        <f>AU49*SISENDID!$E$418</f>
        <v>48.521856895603086</v>
      </c>
      <c r="AV50" s="676">
        <f>AV49*SISENDID!$E$418</f>
        <v>0</v>
      </c>
    </row>
    <row r="51" spans="2:48" s="15" customFormat="1" ht="13.5" outlineLevel="1" x14ac:dyDescent="0.25">
      <c r="B51" s="817" t="s">
        <v>1287</v>
      </c>
      <c r="C51" s="818" t="s">
        <v>659</v>
      </c>
      <c r="D51" s="675">
        <f>D$48/100*SISENDID!F262</f>
        <v>0</v>
      </c>
      <c r="E51" s="675">
        <f>E$48/100*SISENDID!G262</f>
        <v>119.10278842614892</v>
      </c>
      <c r="F51" s="675">
        <f>F$48/100*SISENDID!H262</f>
        <v>278.71656540220687</v>
      </c>
      <c r="G51" s="675">
        <f>G$48/100*SISENDID!I262</f>
        <v>478.64503877160627</v>
      </c>
      <c r="H51" s="675">
        <f>H$48/100*SISENDID!J262</f>
        <v>718.6922236984617</v>
      </c>
      <c r="I51" s="675">
        <f>I$48/100*SISENDID!K262</f>
        <v>998.66244562465931</v>
      </c>
      <c r="J51" s="675">
        <f>J$48/100*SISENDID!L262</f>
        <v>1098.6336193235554</v>
      </c>
      <c r="K51" s="675">
        <f>K$48/100*SISENDID!M262</f>
        <v>1198.2791936454146</v>
      </c>
      <c r="L51" s="675">
        <f>L$48/100*SISENDID!N262</f>
        <v>1297.5995643769566</v>
      </c>
      <c r="M51" s="675">
        <f>M$48/100*SISENDID!O262</f>
        <v>1396.5951301344132</v>
      </c>
      <c r="N51" s="675">
        <f>N$48/100*SISENDID!P262</f>
        <v>1432.6636300924833</v>
      </c>
      <c r="O51" s="675">
        <f>O$48/100*SISENDID!Q262</f>
        <v>1468.583183339721</v>
      </c>
      <c r="P51" s="675">
        <f>P$48/100*SISENDID!R262</f>
        <v>1504.3542368206226</v>
      </c>
      <c r="Q51" s="675">
        <f>Q$48/100*SISENDID!S262</f>
        <v>1539.977236310534</v>
      </c>
      <c r="R51" s="675">
        <f>R$48/100*SISENDID!T262</f>
        <v>1575.4526264184274</v>
      </c>
      <c r="S51" s="675">
        <f>S$48/100*SISENDID!U262</f>
        <v>1610.7808505896678</v>
      </c>
      <c r="T51" s="675">
        <f>T$48/100*SISENDID!V262</f>
        <v>1645.9623511087786</v>
      </c>
      <c r="U51" s="675">
        <f>U$48/100*SISENDID!W262</f>
        <v>1680.9975691021957</v>
      </c>
      <c r="V51" s="675">
        <f>V$48/100*SISENDID!X262</f>
        <v>1715.8869445410214</v>
      </c>
      <c r="W51" s="675">
        <f>W$48/100*SISENDID!Y262</f>
        <v>1750.6309162437678</v>
      </c>
      <c r="X51" s="675">
        <f>X$48/100*SISENDID!Z262</f>
        <v>1785.2299218790979</v>
      </c>
      <c r="Y51" s="675">
        <f>Y$48/100*SISENDID!AA262</f>
        <v>1819.6843979685582</v>
      </c>
      <c r="Z51" s="675">
        <f>Z$48/100*SISENDID!AB262</f>
        <v>1853.9947798893086</v>
      </c>
      <c r="AA51" s="675">
        <f>AA$48/100*SISENDID!AC262</f>
        <v>1888.1615018768423</v>
      </c>
      <c r="AB51" s="675">
        <f>AB$48/100*SISENDID!AD262</f>
        <v>1922.184997027703</v>
      </c>
      <c r="AC51" s="675">
        <f>AC$48/100*SISENDID!AE262</f>
        <v>1936.1779256758734</v>
      </c>
      <c r="AD51" s="675">
        <f>AD$48/100*SISENDID!AF262</f>
        <v>1950.1361498288754</v>
      </c>
      <c r="AE51" s="675">
        <f>AE$48/100*SISENDID!AG262</f>
        <v>1964.0595653904763</v>
      </c>
      <c r="AF51" s="675">
        <f>AF$48/100*SISENDID!AH262</f>
        <v>1977.9480699651715</v>
      </c>
      <c r="AG51" s="675">
        <f>AG$48/100*SISENDID!AI262</f>
        <v>1991.8015628450189</v>
      </c>
      <c r="AH51" s="675">
        <f>AH$48/100*SISENDID!AJ262</f>
        <v>2005.6199449965516</v>
      </c>
      <c r="AI51" s="675">
        <f>AI$48/100*SISENDID!AK262</f>
        <v>2019.4031190477833</v>
      </c>
      <c r="AJ51" s="675">
        <f>AJ$48/100*SISENDID!AL262</f>
        <v>2033.1509892752922</v>
      </c>
      <c r="AK51" s="675">
        <f>AK$48/100*SISENDID!AM262</f>
        <v>2046.8634615913872</v>
      </c>
      <c r="AL51" s="675">
        <f>AL$48/100*SISENDID!AN262</f>
        <v>2060.5404435313653</v>
      </c>
      <c r="AM51" s="675">
        <f>AM$48/100*SISENDID!AO262</f>
        <v>2074.1818442408407</v>
      </c>
      <c r="AN51" s="675">
        <f>AN$48/100*SISENDID!AP262</f>
        <v>2087.7875744631665</v>
      </c>
      <c r="AO51" s="675">
        <f>AO$48/100*SISENDID!AQ262</f>
        <v>2101.3575465269259</v>
      </c>
      <c r="AP51" s="675">
        <f>AP$48/100*SISENDID!AR262</f>
        <v>2114.8916743335199</v>
      </c>
      <c r="AQ51" s="675">
        <f>AQ$48/100*SISENDID!AS262</f>
        <v>2128.3898733448191</v>
      </c>
      <c r="AR51" s="675">
        <f>AR$48/100*SISENDID!AT262</f>
        <v>2141.8520605709082</v>
      </c>
      <c r="AS51" s="675">
        <f>AS$48/100*SISENDID!AU262</f>
        <v>2155.2781545579037</v>
      </c>
      <c r="AT51" s="675">
        <f>AT$48/100*SISENDID!AV262</f>
        <v>2168.6680753758533</v>
      </c>
      <c r="AU51" s="675">
        <f>AU$48/100*SISENDID!AW262</f>
        <v>2182.0217446067109</v>
      </c>
      <c r="AV51" s="676">
        <f>AV$48/100*SISENDID!AX262</f>
        <v>2195.339085332394</v>
      </c>
    </row>
    <row r="52" spans="2:48" s="39" customFormat="1" ht="13.5" outlineLevel="1" x14ac:dyDescent="0.25">
      <c r="B52" s="689" t="s">
        <v>1261</v>
      </c>
      <c r="C52" s="693" t="s">
        <v>853</v>
      </c>
      <c r="D52" s="710">
        <f>D$48*SISENDID!E263/1000</f>
        <v>0</v>
      </c>
      <c r="E52" s="710">
        <f>E$48*SISENDID!F263/1000</f>
        <v>368.35605804687481</v>
      </c>
      <c r="F52" s="710">
        <f>F$48*SISENDID!G263/1000</f>
        <v>685.89179546409537</v>
      </c>
      <c r="G52" s="710">
        <f>G$48*SISENDID!H263/1000</f>
        <v>954.07827521387969</v>
      </c>
      <c r="H52" s="710">
        <f>H$48*SISENDID!I263/1000</f>
        <v>1174.3597746536723</v>
      </c>
      <c r="I52" s="710">
        <f>I$48*SISENDID!J263/1000</f>
        <v>1348.1540832411406</v>
      </c>
      <c r="J52" s="710">
        <f>J$48*SISENDID!K263/1000</f>
        <v>1230.7106678263442</v>
      </c>
      <c r="K52" s="710">
        <f>K$48*SISENDID!L263/1000</f>
        <v>1115.5868859271154</v>
      </c>
      <c r="L52" s="710">
        <f>L$48*SISENDID!M263/1000</f>
        <v>1002.7504515814168</v>
      </c>
      <c r="M52" s="710">
        <f>M$48*SISENDID!N263/1000</f>
        <v>892.16937957763048</v>
      </c>
      <c r="N52" s="710">
        <f>N$48*SISENDID!O263/1000</f>
        <v>783.81198589911219</v>
      </c>
      <c r="O52" s="710">
        <f>O$48*SISENDID!P263/1000</f>
        <v>741.83639284508718</v>
      </c>
      <c r="P52" s="710">
        <f>P$48*SISENDID!Q263/1000</f>
        <v>700.91534598480098</v>
      </c>
      <c r="Q52" s="710">
        <f>Q$48*SISENDID!R263/1000</f>
        <v>661.02602798587748</v>
      </c>
      <c r="R52" s="710">
        <f>R$48*SISENDID!S263/1000</f>
        <v>622.1460945683026</v>
      </c>
      <c r="S52" s="710">
        <f>S$48*SISENDID!T263/1000</f>
        <v>584.25366478194314</v>
      </c>
      <c r="T52" s="710">
        <f>T$48*SISENDID!U263/1000</f>
        <v>547.32731148427558</v>
      </c>
      <c r="U52" s="710">
        <f>U$48*SISENDID!V263/1000</f>
        <v>511.34605201418537</v>
      </c>
      <c r="V52" s="710">
        <f>V$48*SISENDID!W263/1000</f>
        <v>476.2893390577857</v>
      </c>
      <c r="W52" s="710">
        <f>W$48*SISENDID!X263/1000</f>
        <v>442.13705170228781</v>
      </c>
      <c r="X52" s="710">
        <f>X$48*SISENDID!Y263/1000</f>
        <v>408.86948667403823</v>
      </c>
      <c r="Y52" s="710">
        <f>Y$48*SISENDID!Z263/1000</f>
        <v>376.46734975691669</v>
      </c>
      <c r="Z52" s="710">
        <f>Z$48*SISENDID!AA263/1000</f>
        <v>344.91174738736987</v>
      </c>
      <c r="AA52" s="710">
        <f>AA$48*SISENDID!AB263/1000</f>
        <v>314.18417842243059</v>
      </c>
      <c r="AB52" s="710">
        <f>AB$48*SISENDID!AC263/1000</f>
        <v>284.26652607715044</v>
      </c>
      <c r="AC52" s="710">
        <f>AC$48*SISENDID!AD263/1000</f>
        <v>255.14105002794545</v>
      </c>
      <c r="AD52" s="710">
        <f>AD$48*SISENDID!AE263/1000</f>
        <v>239.1572552841198</v>
      </c>
      <c r="AE52" s="710">
        <f>AE$48*SISENDID!AF263/1000</f>
        <v>223.55640478676222</v>
      </c>
      <c r="AF52" s="710">
        <f>AF$48*SISENDID!AG263/1000</f>
        <v>208.33066827897423</v>
      </c>
      <c r="AG52" s="710">
        <f>AG$48*SISENDID!AH263/1000</f>
        <v>193.47236962309756</v>
      </c>
      <c r="AH52" s="710">
        <f>AH$48*SISENDID!AI263/1000</f>
        <v>178.97398376753543</v>
      </c>
      <c r="AI52" s="710">
        <f>AI$48*SISENDID!AJ263/1000</f>
        <v>164.82813377396906</v>
      </c>
      <c r="AJ52" s="710">
        <f>AJ$48*SISENDID!AK263/1000</f>
        <v>151.02758790375239</v>
      </c>
      <c r="AK52" s="710">
        <f>AK$48*SISENDID!AL263/1000</f>
        <v>137.56525676229165</v>
      </c>
      <c r="AL52" s="710">
        <f>AL$48*SISENDID!AM263/1000</f>
        <v>124.43419050024053</v>
      </c>
      <c r="AM52" s="710">
        <f>AM$48*SISENDID!AN263/1000</f>
        <v>111.62757607036697</v>
      </c>
      <c r="AN52" s="710">
        <f>AN$48*SISENDID!AO263/1000</f>
        <v>99.138734538969317</v>
      </c>
      <c r="AO52" s="710">
        <f>AO$48*SISENDID!AP263/1000</f>
        <v>86.961118450743157</v>
      </c>
      <c r="AP52" s="710">
        <f>AP$48*SISENDID!AQ263/1000</f>
        <v>75.088309246022249</v>
      </c>
      <c r="AQ52" s="710">
        <f>AQ$48*SISENDID!AR263/1000</f>
        <v>63.514014729339451</v>
      </c>
      <c r="AR52" s="710">
        <f>AR$48*SISENDID!AS263/1000</f>
        <v>52.232066588273831</v>
      </c>
      <c r="AS52" s="710">
        <f>AS$48*SISENDID!AT263/1000</f>
        <v>41.236417961572315</v>
      </c>
      <c r="AT52" s="710">
        <f>AT$48*SISENDID!AU263/1000</f>
        <v>30.521141055554182</v>
      </c>
      <c r="AU52" s="710">
        <f>AU$48*SISENDID!AV263/1000</f>
        <v>20.080424807827036</v>
      </c>
      <c r="AV52" s="426">
        <f>AV$48*SISENDID!AW263/1000</f>
        <v>9.9085725973626015</v>
      </c>
    </row>
    <row r="54" spans="2:48" x14ac:dyDescent="0.25">
      <c r="D54" s="125"/>
    </row>
    <row r="55" spans="2:48" x14ac:dyDescent="0.25">
      <c r="D55" s="294"/>
      <c r="E55" s="127"/>
    </row>
    <row r="56" spans="2:48" x14ac:dyDescent="0.25">
      <c r="D56" s="294"/>
      <c r="E56" s="128"/>
    </row>
    <row r="57" spans="2:48" x14ac:dyDescent="0.25">
      <c r="D57" s="294"/>
      <c r="E57" s="128"/>
    </row>
    <row r="58" spans="2:48" x14ac:dyDescent="0.25">
      <c r="D58" s="129"/>
      <c r="E58" s="128"/>
    </row>
    <row r="59" spans="2:48" x14ac:dyDescent="0.25">
      <c r="E59" s="128"/>
    </row>
    <row r="60" spans="2:48" x14ac:dyDescent="0.25">
      <c r="E60" s="128"/>
    </row>
    <row r="61" spans="2:48" x14ac:dyDescent="0.25">
      <c r="E61" s="127"/>
    </row>
    <row r="62" spans="2:48" x14ac:dyDescent="0.25">
      <c r="E62" s="127"/>
    </row>
    <row r="63" spans="2:48" x14ac:dyDescent="0.25">
      <c r="E63" s="127"/>
    </row>
    <row r="64" spans="2:48" x14ac:dyDescent="0.25">
      <c r="E64" s="127"/>
    </row>
  </sheetData>
  <sheetProtection algorithmName="SHA-512" hashValue="CRw8yVtuATe7G5rqxre8K0wAMxfV8kt9y/qfnxsTOkNg9Zag+soCZV0OHjsnrirBKrKVIeOsQl1eXu5swIOmXw==" saltValue="NlHCnrCzNHJoMUamBtVhbw==" spinCount="100000" sheet="1" objects="1" scenarios="1" selectLockedCells="1"/>
  <mergeCells count="1">
    <mergeCell ref="D3:L3"/>
  </mergeCells>
  <conditionalFormatting sqref="C34:C36">
    <cfRule type="containsText" dxfId="47" priority="1" operator="containsText" text="Kõrge">
      <formula>NOT(ISERROR(SEARCH("Kõrge",C34)))</formula>
    </cfRule>
    <cfRule type="containsText" dxfId="46" priority="2" operator="containsText" text="Mõõdukas">
      <formula>NOT(ISERROR(SEARCH("Mõõdukas",C34)))</formula>
    </cfRule>
    <cfRule type="containsText" dxfId="45" priority="3" operator="containsText" text="Madal">
      <formula>NOT(ISERROR(SEARCH("Madal",C34)))</formula>
    </cfRule>
  </conditionalFormatting>
  <dataValidations count="3">
    <dataValidation type="list" allowBlank="1" showInputMessage="1" showErrorMessage="1" sqref="C36" xr:uid="{70CF0D2C-582C-444D-80F4-A0312C79CBEE}">
      <formula1>I34:I36</formula1>
    </dataValidation>
    <dataValidation type="list" allowBlank="1" showInputMessage="1" showErrorMessage="1" sqref="C35" xr:uid="{F67D27B8-9CA8-46E6-B8AE-6CF8A353F0EA}">
      <formula1>I34:I36</formula1>
    </dataValidation>
    <dataValidation type="list" allowBlank="1" showInputMessage="1" showErrorMessage="1" sqref="C34" xr:uid="{C7D39AF9-029A-4C41-B2C5-86C41B2218FF}">
      <formula1>I34:I36</formula1>
    </dataValidation>
  </dataValidations>
  <hyperlinks>
    <hyperlink ref="B1" location="MEETMED!A1" display="&lt;-MEETMETE NIMEKIRI" xr:uid="{A4DD6D5D-C01A-4933-8884-7F6DBD930E1C}"/>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32F08-34F5-4A6F-809F-12EDA4C77C72}">
  <sheetPr>
    <tabColor theme="5" tint="0.79998168889431442"/>
  </sheetPr>
  <dimension ref="A1:AV68"/>
  <sheetViews>
    <sheetView showGridLines="0" zoomScale="85" zoomScaleNormal="85" workbookViewId="0">
      <selection activeCell="C22" sqref="C22"/>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6" width="11.85546875" customWidth="1"/>
    <col min="7" max="8" width="9.7109375" customWidth="1"/>
    <col min="9" max="9" width="11.85546875" customWidth="1"/>
    <col min="10" max="10" width="9.85546875" bestFit="1"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25.5" customHeight="1" x14ac:dyDescent="0.25">
      <c r="A3" s="260" t="s">
        <v>134</v>
      </c>
      <c r="B3" s="988" t="str">
        <f>"MEEDE: "&amp;VLOOKUP(A3,MEETMED!B:G,2,FALSE)</f>
        <v>MEEDE: Bussi taristu arendamine</v>
      </c>
      <c r="C3" s="988"/>
      <c r="D3" s="988"/>
      <c r="E3" s="988"/>
      <c r="F3" s="988"/>
      <c r="G3" s="988" t="str">
        <f>"TEGEVUS: "&amp;VLOOKUP(A3,MEETMED!B:G,3,FALSE)</f>
        <v>TEGEVUS: Heitevaba veerem</v>
      </c>
      <c r="H3" s="988"/>
      <c r="I3" s="988"/>
      <c r="J3" s="988"/>
      <c r="K3" s="988"/>
      <c r="L3" s="988"/>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5.25" customHeight="1" outlineLevel="1" x14ac:dyDescent="0.25">
      <c r="D6" s="2"/>
    </row>
    <row r="7" spans="1:27" s="1" customFormat="1" outlineLevel="1" x14ac:dyDescent="0.25">
      <c r="B7" s="802" t="s">
        <v>1288</v>
      </c>
      <c r="C7" s="930">
        <v>2027</v>
      </c>
      <c r="D7" s="7" t="s">
        <v>863</v>
      </c>
      <c r="E7" s="323"/>
      <c r="I7" s="277" t="s">
        <v>876</v>
      </c>
    </row>
    <row r="8" spans="1:27" s="1" customFormat="1" outlineLevel="1" x14ac:dyDescent="0.25">
      <c r="B8" s="802" t="s">
        <v>1289</v>
      </c>
      <c r="C8" s="930">
        <v>2035</v>
      </c>
      <c r="D8" s="7" t="s">
        <v>863</v>
      </c>
      <c r="E8" s="323"/>
      <c r="I8" s="893" t="s">
        <v>1670</v>
      </c>
      <c r="J8" s="305" t="s">
        <v>877</v>
      </c>
    </row>
    <row r="9" spans="1:27" s="1" customFormat="1" outlineLevel="1" x14ac:dyDescent="0.25">
      <c r="B9" s="802" t="s">
        <v>1290</v>
      </c>
      <c r="C9" s="11">
        <f>C8-C7+1</f>
        <v>9</v>
      </c>
      <c r="D9" s="7" t="s">
        <v>863</v>
      </c>
      <c r="E9" s="7"/>
      <c r="F9" s="7"/>
      <c r="G9" s="7"/>
      <c r="H9" s="7"/>
      <c r="I9" s="892" t="s">
        <v>878</v>
      </c>
      <c r="J9" s="305" t="s">
        <v>1669</v>
      </c>
      <c r="K9" s="7"/>
      <c r="L9" s="7"/>
    </row>
    <row r="10" spans="1:27" s="1" customFormat="1" outlineLevel="1" x14ac:dyDescent="0.25">
      <c r="B10" s="802" t="s">
        <v>1291</v>
      </c>
      <c r="C10" s="930">
        <v>2026</v>
      </c>
      <c r="D10" s="7" t="s">
        <v>863</v>
      </c>
      <c r="E10" s="7"/>
      <c r="F10" s="7"/>
      <c r="G10" s="7"/>
      <c r="H10" s="7"/>
      <c r="I10" s="892" t="s">
        <v>1671</v>
      </c>
      <c r="J10" s="228">
        <v>1234</v>
      </c>
      <c r="K10" s="7"/>
      <c r="L10" s="7"/>
    </row>
    <row r="11" spans="1:27" s="1" customFormat="1" outlineLevel="1" x14ac:dyDescent="0.25">
      <c r="B11" s="802" t="s">
        <v>1292</v>
      </c>
      <c r="C11" s="930">
        <v>2050</v>
      </c>
      <c r="D11" s="7" t="s">
        <v>863</v>
      </c>
      <c r="E11" s="7"/>
      <c r="F11" s="7"/>
      <c r="G11" s="7"/>
      <c r="H11" s="7"/>
      <c r="I11" s="7"/>
      <c r="J11" s="7"/>
      <c r="K11" s="7"/>
      <c r="L11" s="7"/>
    </row>
    <row r="12" spans="1:27" s="1" customFormat="1" outlineLevel="1" x14ac:dyDescent="0.25">
      <c r="B12" s="802" t="s">
        <v>865</v>
      </c>
      <c r="C12" s="11">
        <f>C11-C10+1</f>
        <v>25</v>
      </c>
      <c r="D12" s="7" t="s">
        <v>863</v>
      </c>
      <c r="E12" s="7"/>
      <c r="F12" s="7"/>
      <c r="G12" s="7"/>
      <c r="H12" s="7"/>
      <c r="I12" s="7"/>
      <c r="J12" s="7"/>
      <c r="K12" s="7"/>
      <c r="L12" s="7"/>
    </row>
    <row r="13" spans="1:27" s="1" customFormat="1" ht="5.25" customHeight="1" outlineLevel="1" x14ac:dyDescent="0.25">
      <c r="B13" s="822"/>
      <c r="D13" s="2"/>
    </row>
    <row r="14" spans="1:27" s="1" customFormat="1" outlineLevel="1" x14ac:dyDescent="0.25">
      <c r="B14" s="802" t="s">
        <v>1293</v>
      </c>
      <c r="C14" s="931">
        <v>200000</v>
      </c>
      <c r="D14" s="7" t="s">
        <v>1294</v>
      </c>
      <c r="E14" s="323"/>
      <c r="F14" s="7"/>
      <c r="G14" s="7"/>
      <c r="H14" s="7"/>
      <c r="I14" s="824"/>
      <c r="J14" s="824"/>
      <c r="K14" s="824"/>
      <c r="L14" s="824"/>
    </row>
    <row r="15" spans="1:27" s="1" customFormat="1" outlineLevel="1" x14ac:dyDescent="0.25">
      <c r="B15" s="802" t="s">
        <v>1295</v>
      </c>
      <c r="C15" s="931">
        <v>100000</v>
      </c>
      <c r="D15" s="7" t="s">
        <v>1294</v>
      </c>
      <c r="E15" s="323"/>
      <c r="F15" s="7" t="s">
        <v>1296</v>
      </c>
      <c r="G15" s="7"/>
      <c r="H15" s="7"/>
      <c r="I15" s="825"/>
      <c r="J15" s="826" t="s">
        <v>1297</v>
      </c>
      <c r="K15" s="826" t="s">
        <v>1298</v>
      </c>
      <c r="L15" s="827" t="s">
        <v>1299</v>
      </c>
    </row>
    <row r="16" spans="1:27" s="1" customFormat="1" outlineLevel="1" x14ac:dyDescent="0.25">
      <c r="B16" s="802" t="s">
        <v>1300</v>
      </c>
      <c r="C16" s="931">
        <f>K17-K16</f>
        <v>-6162.1621621621634</v>
      </c>
      <c r="D16" s="7" t="s">
        <v>1301</v>
      </c>
      <c r="E16" s="323"/>
      <c r="F16" s="7"/>
      <c r="G16" s="7"/>
      <c r="H16" s="7"/>
      <c r="I16" s="823" t="s">
        <v>1302</v>
      </c>
      <c r="J16" s="803">
        <f>0.25*C19</f>
        <v>12500</v>
      </c>
      <c r="K16" s="803">
        <f>C19/100*C20*L16</f>
        <v>24000</v>
      </c>
      <c r="L16" s="811">
        <v>1.2</v>
      </c>
    </row>
    <row r="17" spans="2:12" s="1" customFormat="1" outlineLevel="1" x14ac:dyDescent="0.25">
      <c r="B17" s="802" t="s">
        <v>1303</v>
      </c>
      <c r="C17" s="931">
        <f>J17-J16</f>
        <v>-5882.3529411764703</v>
      </c>
      <c r="D17" s="7" t="s">
        <v>1301</v>
      </c>
      <c r="E17" s="323"/>
      <c r="F17" s="7"/>
      <c r="G17" s="7"/>
      <c r="H17" s="7"/>
      <c r="I17" s="823" t="s">
        <v>1304</v>
      </c>
      <c r="J17" s="803">
        <f>(18/34)*J16</f>
        <v>6617.6470588235297</v>
      </c>
      <c r="K17" s="803">
        <f>C19/100*C21*L17</f>
        <v>17837.837837837837</v>
      </c>
      <c r="L17" s="811">
        <v>0.2</v>
      </c>
    </row>
    <row r="18" spans="2:12" s="1" customFormat="1" outlineLevel="1" x14ac:dyDescent="0.25">
      <c r="B18" s="802" t="s">
        <v>1305</v>
      </c>
      <c r="C18" s="931">
        <v>590</v>
      </c>
      <c r="D18" s="7" t="s">
        <v>1238</v>
      </c>
      <c r="E18" s="323"/>
      <c r="F18" s="7" t="s">
        <v>1306</v>
      </c>
      <c r="G18" s="7"/>
      <c r="H18" s="7"/>
      <c r="I18" s="7"/>
      <c r="J18" s="7"/>
      <c r="K18" s="7"/>
      <c r="L18" s="7"/>
    </row>
    <row r="19" spans="2:12" s="1" customFormat="1" outlineLevel="1" x14ac:dyDescent="0.25">
      <c r="B19" s="802" t="s">
        <v>1307</v>
      </c>
      <c r="C19" s="931">
        <v>50000</v>
      </c>
      <c r="D19" s="7" t="s">
        <v>1232</v>
      </c>
      <c r="E19" s="323"/>
      <c r="F19" s="7"/>
      <c r="G19" s="7"/>
      <c r="H19" s="7"/>
      <c r="I19" s="7"/>
      <c r="J19" s="7"/>
      <c r="K19" s="7"/>
      <c r="L19" s="7"/>
    </row>
    <row r="20" spans="2:12" s="1" customFormat="1" outlineLevel="1" x14ac:dyDescent="0.25">
      <c r="B20" s="802" t="s">
        <v>1308</v>
      </c>
      <c r="C20" s="931">
        <v>40</v>
      </c>
      <c r="D20" s="7" t="s">
        <v>656</v>
      </c>
      <c r="E20" s="323"/>
      <c r="F20" s="7"/>
      <c r="G20" s="400"/>
      <c r="H20" s="7"/>
      <c r="I20" s="7"/>
      <c r="J20" s="7"/>
      <c r="K20" s="7"/>
      <c r="L20" s="7"/>
    </row>
    <row r="21" spans="2:12" s="1" customFormat="1" outlineLevel="1" x14ac:dyDescent="0.25">
      <c r="B21" s="802" t="s">
        <v>1309</v>
      </c>
      <c r="C21" s="931">
        <f>120*(55/37)</f>
        <v>178.37837837837836</v>
      </c>
      <c r="D21" s="170" t="s">
        <v>1310</v>
      </c>
      <c r="E21" s="323"/>
      <c r="F21" s="7"/>
      <c r="G21" s="7"/>
      <c r="H21" s="7"/>
      <c r="I21" s="7"/>
      <c r="J21" s="7"/>
      <c r="K21" s="7"/>
      <c r="L21" s="7"/>
    </row>
    <row r="22" spans="2:12" s="1" customFormat="1" outlineLevel="1" x14ac:dyDescent="0.25">
      <c r="B22" s="802" t="s">
        <v>1311</v>
      </c>
      <c r="C22" s="932">
        <v>1</v>
      </c>
      <c r="D22" s="7"/>
      <c r="E22" s="323"/>
      <c r="F22" s="7"/>
      <c r="G22" s="7"/>
      <c r="H22" s="7"/>
      <c r="I22" s="7"/>
      <c r="J22" s="7"/>
      <c r="K22" s="7"/>
      <c r="L22" s="7"/>
    </row>
    <row r="23" spans="2:12" s="1" customFormat="1" outlineLevel="1" x14ac:dyDescent="0.25">
      <c r="B23" s="802" t="s">
        <v>1312</v>
      </c>
      <c r="C23" s="11">
        <f>C18/C9*C22</f>
        <v>65.555555555555557</v>
      </c>
      <c r="D23" s="7" t="s">
        <v>1313</v>
      </c>
      <c r="E23" s="7"/>
      <c r="F23" s="7" t="s">
        <v>1314</v>
      </c>
      <c r="G23" s="7"/>
      <c r="H23" s="7"/>
      <c r="I23" s="7"/>
      <c r="J23" s="7"/>
      <c r="K23" s="7"/>
      <c r="L23" s="7"/>
    </row>
    <row r="24" spans="2:12" s="1" customFormat="1" outlineLevel="1" x14ac:dyDescent="0.25">
      <c r="B24" s="802" t="s">
        <v>1315</v>
      </c>
      <c r="C24" s="933">
        <v>11</v>
      </c>
      <c r="D24" s="7" t="s">
        <v>863</v>
      </c>
      <c r="E24" s="323"/>
      <c r="F24" s="7"/>
      <c r="G24" s="7"/>
      <c r="H24" s="7"/>
      <c r="I24" s="7"/>
      <c r="J24" s="7"/>
      <c r="K24" s="7"/>
      <c r="L24" s="7"/>
    </row>
    <row r="25" spans="2:12" s="1" customFormat="1" x14ac:dyDescent="0.25">
      <c r="B25" s="7"/>
      <c r="C25" s="7"/>
      <c r="D25" s="7"/>
      <c r="E25" s="7"/>
      <c r="F25" s="7"/>
      <c r="G25" s="7"/>
      <c r="H25" s="7"/>
      <c r="I25" s="7"/>
      <c r="J25" s="7"/>
      <c r="K25" s="7"/>
      <c r="L25" s="7"/>
    </row>
    <row r="26" spans="2:12" s="1" customFormat="1" x14ac:dyDescent="0.25">
      <c r="B26" s="659" t="s">
        <v>895</v>
      </c>
      <c r="C26" s="659"/>
      <c r="D26" s="659"/>
      <c r="E26" s="659"/>
      <c r="F26" s="659"/>
      <c r="G26" s="659"/>
      <c r="H26" s="659"/>
      <c r="I26" s="659"/>
      <c r="J26" s="659"/>
      <c r="K26" s="659"/>
      <c r="L26" s="659"/>
    </row>
    <row r="27" spans="2:12" s="1" customFormat="1" ht="9.75" customHeight="1" outlineLevel="1" x14ac:dyDescent="0.25"/>
    <row r="28" spans="2:12" s="1" customFormat="1" outlineLevel="1" x14ac:dyDescent="0.25">
      <c r="B28" s="13" t="s">
        <v>896</v>
      </c>
      <c r="D28" s="43"/>
      <c r="E28" s="829" t="s">
        <v>897</v>
      </c>
      <c r="F28" s="830"/>
    </row>
    <row r="29" spans="2:12" s="1" customFormat="1" outlineLevel="1" x14ac:dyDescent="0.25">
      <c r="B29" s="828" t="s">
        <v>898</v>
      </c>
      <c r="C29" s="665" t="s">
        <v>899</v>
      </c>
      <c r="D29" s="43"/>
      <c r="E29" s="661"/>
      <c r="F29" s="662" t="s">
        <v>900</v>
      </c>
    </row>
    <row r="30" spans="2:12" s="1" customFormat="1" outlineLevel="1" x14ac:dyDescent="0.25">
      <c r="B30" s="663" t="s">
        <v>398</v>
      </c>
      <c r="C30" s="666" t="s">
        <v>1316</v>
      </c>
      <c r="E30" s="663">
        <v>2030</v>
      </c>
      <c r="F30" s="670">
        <f>H56</f>
        <v>13883.723715555556</v>
      </c>
    </row>
    <row r="31" spans="2:12" s="1" customFormat="1" outlineLevel="1" x14ac:dyDescent="0.25">
      <c r="B31" s="155" t="s">
        <v>399</v>
      </c>
      <c r="C31" s="667" t="str">
        <f>C30</f>
        <v>1,5</v>
      </c>
      <c r="E31" s="155">
        <v>2035</v>
      </c>
      <c r="F31" s="428">
        <f>M56</f>
        <v>31238.378359999999</v>
      </c>
    </row>
    <row r="32" spans="2:12" s="1" customFormat="1" outlineLevel="1" x14ac:dyDescent="0.25">
      <c r="B32" s="663" t="s">
        <v>400</v>
      </c>
      <c r="C32" s="666">
        <f>SUM(D53:AB53)/25/1000</f>
        <v>10.0483222045575</v>
      </c>
      <c r="E32" s="663">
        <v>2040</v>
      </c>
      <c r="F32" s="670">
        <f>R56</f>
        <v>31238.378359999999</v>
      </c>
    </row>
    <row r="33" spans="1:48" s="1" customFormat="1" ht="15" customHeight="1" outlineLevel="1" x14ac:dyDescent="0.25">
      <c r="B33" s="155" t="s">
        <v>401</v>
      </c>
      <c r="C33" s="667">
        <f>SUM(D53:AB53)/25/1000</f>
        <v>10.0483222045575</v>
      </c>
      <c r="E33" s="155">
        <v>2045</v>
      </c>
      <c r="F33" s="428">
        <f>W56</f>
        <v>31238.378359999999</v>
      </c>
    </row>
    <row r="34" spans="1:48" s="1" customFormat="1" outlineLevel="1" x14ac:dyDescent="0.25">
      <c r="B34" s="663" t="s">
        <v>901</v>
      </c>
      <c r="C34" s="670">
        <f>MAX(D56:AR56)</f>
        <v>31238.378359999999</v>
      </c>
      <c r="E34" s="663">
        <v>2050</v>
      </c>
      <c r="F34" s="670">
        <f>AB56</f>
        <v>31238.378359999999</v>
      </c>
    </row>
    <row r="35" spans="1:48" s="1" customFormat="1" outlineLevel="1" x14ac:dyDescent="0.25">
      <c r="B35" s="155" t="s">
        <v>902</v>
      </c>
      <c r="C35" s="428">
        <f>SUM(D54:Z54)*SISENDID!E418/1000</f>
        <v>2102.3776799999996</v>
      </c>
      <c r="D35" s="235"/>
      <c r="E35" s="7"/>
    </row>
    <row r="36" spans="1:48" s="1" customFormat="1" outlineLevel="1" x14ac:dyDescent="0.25">
      <c r="B36" s="663" t="s">
        <v>403</v>
      </c>
      <c r="C36" s="670">
        <f>SUM(D53:AV53)*1000/SUM(D56:AV56)</f>
        <v>334.44293992777767</v>
      </c>
      <c r="E36" s="7"/>
      <c r="T36" s="327"/>
    </row>
    <row r="37" spans="1:48" s="1" customFormat="1" outlineLevel="1" x14ac:dyDescent="0.25">
      <c r="B37" s="13"/>
      <c r="C37" s="236"/>
      <c r="D37" s="2"/>
    </row>
    <row r="38" spans="1:48" s="1" customFormat="1" outlineLevel="1" x14ac:dyDescent="0.25">
      <c r="A38" s="2"/>
      <c r="B38" s="284" t="s">
        <v>903</v>
      </c>
      <c r="D38" s="261"/>
      <c r="E38" s="7"/>
      <c r="I38" s="277" t="s">
        <v>876</v>
      </c>
    </row>
    <row r="39" spans="1:48" s="1" customFormat="1" ht="16.5" customHeight="1" outlineLevel="1" x14ac:dyDescent="0.25">
      <c r="A39" s="2">
        <v>1</v>
      </c>
      <c r="B39" s="155" t="s">
        <v>904</v>
      </c>
      <c r="C39" s="307" t="s">
        <v>474</v>
      </c>
      <c r="E39" s="283" t="s">
        <v>1317</v>
      </c>
      <c r="F39" s="12"/>
      <c r="G39" s="12"/>
      <c r="H39" s="12"/>
      <c r="I39" s="311" t="s">
        <v>474</v>
      </c>
      <c r="J39" s="295" t="s">
        <v>906</v>
      </c>
    </row>
    <row r="40" spans="1:48" s="1" customFormat="1" ht="16.5" customHeight="1" outlineLevel="1" x14ac:dyDescent="0.25">
      <c r="A40" s="2"/>
      <c r="B40" s="155" t="s">
        <v>907</v>
      </c>
      <c r="C40" s="307" t="s">
        <v>474</v>
      </c>
      <c r="D40" s="397">
        <f>IF(C40="Kõrge",3,IF(C40="Mõõdukas",2,1))</f>
        <v>3</v>
      </c>
      <c r="E40" s="12"/>
      <c r="F40" s="12"/>
      <c r="G40" s="12"/>
      <c r="H40" s="12"/>
      <c r="I40" s="312" t="s">
        <v>905</v>
      </c>
      <c r="J40" s="295" t="s">
        <v>908</v>
      </c>
      <c r="P40" s="327"/>
      <c r="Q40" s="327"/>
      <c r="R40" s="327"/>
      <c r="S40" s="327"/>
      <c r="T40" s="327"/>
      <c r="U40" s="327"/>
      <c r="V40" s="327"/>
      <c r="W40" s="327"/>
      <c r="X40" s="327"/>
      <c r="Y40" s="327"/>
      <c r="Z40" s="327"/>
      <c r="AA40" s="327"/>
      <c r="AB40" s="327"/>
    </row>
    <row r="41" spans="1:48" s="1" customFormat="1" outlineLevel="1" x14ac:dyDescent="0.25">
      <c r="A41" s="2">
        <v>189</v>
      </c>
      <c r="B41" s="155" t="s">
        <v>909</v>
      </c>
      <c r="C41" s="307" t="s">
        <v>905</v>
      </c>
      <c r="D41" s="397">
        <f>IF(C41="Kõrge",3,IF(C41="Mõõdukas",2,1))</f>
        <v>2</v>
      </c>
      <c r="E41" s="12"/>
      <c r="F41" s="12"/>
      <c r="I41" s="313" t="s">
        <v>910</v>
      </c>
      <c r="J41" s="295" t="s">
        <v>911</v>
      </c>
    </row>
    <row r="42" spans="1:48" s="1" customFormat="1" x14ac:dyDescent="0.25">
      <c r="B42" s="7"/>
      <c r="C42" s="399" t="s">
        <v>912</v>
      </c>
      <c r="D42" s="398">
        <f>D41+D40</f>
        <v>5</v>
      </c>
      <c r="E42" s="7"/>
    </row>
    <row r="43" spans="1:48" x14ac:dyDescent="0.25">
      <c r="A43" s="1"/>
      <c r="B43" s="659" t="s">
        <v>913</v>
      </c>
      <c r="C43" s="659"/>
      <c r="D43" s="659"/>
      <c r="E43" s="659"/>
      <c r="F43" s="659"/>
      <c r="G43" s="659"/>
      <c r="H43" s="659"/>
      <c r="I43" s="659"/>
      <c r="J43" s="659"/>
      <c r="K43" s="659"/>
      <c r="L43" s="659"/>
      <c r="M43" s="659"/>
      <c r="N43" s="659"/>
      <c r="O43" s="659"/>
      <c r="P43" s="659"/>
      <c r="Q43" s="659"/>
      <c r="R43" s="659"/>
      <c r="S43" s="659"/>
      <c r="T43" s="659"/>
      <c r="U43" s="659"/>
      <c r="V43" s="659"/>
      <c r="W43" s="659"/>
      <c r="X43" s="659"/>
      <c r="Y43" s="659"/>
      <c r="Z43" s="659"/>
      <c r="AA43" s="659"/>
      <c r="AB43" s="659"/>
      <c r="AC43" s="659"/>
      <c r="AD43" s="659"/>
      <c r="AE43" s="659"/>
      <c r="AF43" s="659"/>
      <c r="AG43" s="659"/>
      <c r="AH43" s="659"/>
      <c r="AI43" s="659"/>
      <c r="AJ43" s="659"/>
      <c r="AK43" s="659"/>
      <c r="AL43" s="659"/>
      <c r="AM43" s="659"/>
      <c r="AN43" s="659"/>
      <c r="AO43" s="659"/>
      <c r="AP43" s="659"/>
      <c r="AQ43" s="659"/>
      <c r="AR43" s="659"/>
      <c r="AS43" s="511"/>
      <c r="AT43" s="511"/>
      <c r="AU43" s="511"/>
      <c r="AV43" s="511"/>
    </row>
    <row r="44" spans="1:48" s="15" customFormat="1" ht="7.5" customHeight="1" outlineLevel="1" x14ac:dyDescent="0.25"/>
    <row r="45" spans="1:48" s="15" customFormat="1" ht="13.5" outlineLevel="1" x14ac:dyDescent="0.25">
      <c r="B45" s="696" t="s">
        <v>914</v>
      </c>
      <c r="C45" s="697"/>
      <c r="D45" s="698">
        <f>C10</f>
        <v>2026</v>
      </c>
      <c r="E45" s="698">
        <f>D45+1</f>
        <v>2027</v>
      </c>
      <c r="F45" s="698">
        <f t="shared" ref="F45:AR45" si="0">E45+1</f>
        <v>2028</v>
      </c>
      <c r="G45" s="698">
        <f t="shared" si="0"/>
        <v>2029</v>
      </c>
      <c r="H45" s="698">
        <f t="shared" si="0"/>
        <v>2030</v>
      </c>
      <c r="I45" s="698">
        <f t="shared" si="0"/>
        <v>2031</v>
      </c>
      <c r="J45" s="698">
        <f t="shared" si="0"/>
        <v>2032</v>
      </c>
      <c r="K45" s="698">
        <f t="shared" si="0"/>
        <v>2033</v>
      </c>
      <c r="L45" s="698">
        <f t="shared" si="0"/>
        <v>2034</v>
      </c>
      <c r="M45" s="698">
        <f t="shared" si="0"/>
        <v>2035</v>
      </c>
      <c r="N45" s="698">
        <f>M45+1</f>
        <v>2036</v>
      </c>
      <c r="O45" s="698">
        <f t="shared" si="0"/>
        <v>2037</v>
      </c>
      <c r="P45" s="698">
        <f t="shared" si="0"/>
        <v>2038</v>
      </c>
      <c r="Q45" s="698">
        <f t="shared" si="0"/>
        <v>2039</v>
      </c>
      <c r="R45" s="698">
        <f t="shared" si="0"/>
        <v>2040</v>
      </c>
      <c r="S45" s="698">
        <f>R45+1</f>
        <v>2041</v>
      </c>
      <c r="T45" s="698">
        <f>S45+1</f>
        <v>2042</v>
      </c>
      <c r="U45" s="698">
        <f>T45+1</f>
        <v>2043</v>
      </c>
      <c r="V45" s="432">
        <f t="shared" si="0"/>
        <v>2044</v>
      </c>
      <c r="W45" s="432">
        <f t="shared" si="0"/>
        <v>2045</v>
      </c>
      <c r="X45" s="432">
        <f t="shared" si="0"/>
        <v>2046</v>
      </c>
      <c r="Y45" s="432">
        <f t="shared" si="0"/>
        <v>2047</v>
      </c>
      <c r="Z45" s="432">
        <f t="shared" si="0"/>
        <v>2048</v>
      </c>
      <c r="AA45" s="432">
        <f t="shared" si="0"/>
        <v>2049</v>
      </c>
      <c r="AB45" s="432">
        <f t="shared" si="0"/>
        <v>2050</v>
      </c>
      <c r="AC45" s="432">
        <f t="shared" si="0"/>
        <v>2051</v>
      </c>
      <c r="AD45" s="432">
        <f t="shared" si="0"/>
        <v>2052</v>
      </c>
      <c r="AE45" s="432">
        <f t="shared" si="0"/>
        <v>2053</v>
      </c>
      <c r="AF45" s="432">
        <f t="shared" si="0"/>
        <v>2054</v>
      </c>
      <c r="AG45" s="432">
        <f t="shared" si="0"/>
        <v>2055</v>
      </c>
      <c r="AH45" s="432">
        <f t="shared" si="0"/>
        <v>2056</v>
      </c>
      <c r="AI45" s="432">
        <f t="shared" si="0"/>
        <v>2057</v>
      </c>
      <c r="AJ45" s="432">
        <f t="shared" si="0"/>
        <v>2058</v>
      </c>
      <c r="AK45" s="432">
        <f t="shared" si="0"/>
        <v>2059</v>
      </c>
      <c r="AL45" s="432">
        <f t="shared" si="0"/>
        <v>2060</v>
      </c>
      <c r="AM45" s="432">
        <f t="shared" si="0"/>
        <v>2061</v>
      </c>
      <c r="AN45" s="432">
        <f t="shared" si="0"/>
        <v>2062</v>
      </c>
      <c r="AO45" s="432">
        <f t="shared" si="0"/>
        <v>2063</v>
      </c>
      <c r="AP45" s="432">
        <f t="shared" si="0"/>
        <v>2064</v>
      </c>
      <c r="AQ45" s="432">
        <f t="shared" si="0"/>
        <v>2065</v>
      </c>
      <c r="AR45" s="432">
        <f t="shared" si="0"/>
        <v>2066</v>
      </c>
      <c r="AS45" s="432">
        <f t="shared" ref="AS45" si="1">AR45+1</f>
        <v>2067</v>
      </c>
      <c r="AT45" s="432">
        <f t="shared" ref="AT45" si="2">AS45+1</f>
        <v>2068</v>
      </c>
      <c r="AU45" s="432">
        <f t="shared" ref="AU45" si="3">AT45+1</f>
        <v>2069</v>
      </c>
      <c r="AV45" s="716">
        <f t="shared" ref="AV45" si="4">AU45+1</f>
        <v>2070</v>
      </c>
    </row>
    <row r="46" spans="1:48" s="15" customFormat="1" ht="13.5" outlineLevel="1" x14ac:dyDescent="0.25">
      <c r="B46" s="817" t="s">
        <v>1318</v>
      </c>
      <c r="C46" s="818" t="s">
        <v>1319</v>
      </c>
      <c r="D46" s="675">
        <f>IF(OR(D45&lt;$C$7,D45&gt;$C$8),0,$C$23)+IFERROR(HLOOKUP(D45-12,C$45:$E46,2,FALSE),0)</f>
        <v>0</v>
      </c>
      <c r="E46" s="675">
        <f>IF(OR(E45&lt;$C$7,E45&gt;$C$8),0,$C$23)+IFERROR(HLOOKUP(E45-$C$24,D$45:$E46,2,FALSE),0)</f>
        <v>65.555555555555557</v>
      </c>
      <c r="F46" s="675">
        <f>IF(OR(F45&lt;$C$7,F45&gt;$C$8),0,$C$23)+IFERROR(HLOOKUP(F45-$C$24,E$45:$E46,2,FALSE),0)</f>
        <v>65.555555555555557</v>
      </c>
      <c r="G46" s="675">
        <f>IF(OR(G45&lt;$C$7,G45&gt;$C$8),0,$C$23)+IFERROR(HLOOKUP(G45-$C$24,$E$45:F46,2,FALSE),0)</f>
        <v>65.555555555555557</v>
      </c>
      <c r="H46" s="675">
        <f>IF(OR(H45&lt;$C$7,H45&gt;$C$8),0,$C$23)+IFERROR(HLOOKUP(H45-$C$24,$E$45:G46,2,FALSE),0)</f>
        <v>65.555555555555557</v>
      </c>
      <c r="I46" s="675">
        <f>IF(OR(I45&lt;$C$7,I45&gt;$C$8),0,$C$23)+IFERROR(HLOOKUP(I45-$C$24,$E$45:H46,2,FALSE),0)</f>
        <v>65.555555555555557</v>
      </c>
      <c r="J46" s="675">
        <f>IF(OR(J45&lt;$C$7,J45&gt;$C$8),0,$C$23)+IFERROR(HLOOKUP(J45-$C$24,$E$45:I46,2,FALSE),0)</f>
        <v>65.555555555555557</v>
      </c>
      <c r="K46" s="675">
        <f>IF(OR(K45&lt;$C$7,K45&gt;$C$8),0,$C$23)+IFERROR(HLOOKUP(K45-$C$24,$E$45:J46,2,FALSE),0)</f>
        <v>65.555555555555557</v>
      </c>
      <c r="L46" s="675">
        <f>IF(OR(L45&lt;$C$7,L45&gt;$C$8),0,$C$23)+IFERROR(HLOOKUP(L45-$C$24,$E$45:K46,2,FALSE),0)</f>
        <v>65.555555555555557</v>
      </c>
      <c r="M46" s="675">
        <f>IF(OR(M45&lt;$C$7,M45&gt;$C$8),0,$C$23)+IFERROR(HLOOKUP(M45-$C$24,$E$45:L46,2,FALSE),0)</f>
        <v>65.555555555555557</v>
      </c>
      <c r="N46" s="675">
        <f>IF(OR(N45&lt;$C$7,N45&gt;$C$8),0,$C$23)+IFERROR(HLOOKUP(N45-$C$24,$E$45:M46,2,FALSE),0)</f>
        <v>0</v>
      </c>
      <c r="O46" s="675">
        <f>IF(OR(O45&lt;$C$7,O45&gt;$C$8),0,$C$23)+IFERROR(HLOOKUP(O45-$C$24,$E$45:N46,2,FALSE),0)</f>
        <v>0</v>
      </c>
      <c r="P46" s="675">
        <f>IF(OR(P45&lt;$C$7,P45&gt;$C$8),0,$C$23)+IFERROR(HLOOKUP(P45-$C$24,$E$45:O46,2,FALSE),0)</f>
        <v>65.555555555555557</v>
      </c>
      <c r="Q46" s="675">
        <f>IF(OR(Q45&lt;$C$7,Q45&gt;$C$8),0,$C$23)+IFERROR(HLOOKUP(Q45-$C$24,$E$45:P46,2,FALSE),0)</f>
        <v>65.555555555555557</v>
      </c>
      <c r="R46" s="675">
        <f>IF(OR(R45&lt;$C$7,R45&gt;$C$8),0,$C$23)+IFERROR(HLOOKUP(R45-$C$24,$E$45:Q46,2,FALSE),0)</f>
        <v>65.555555555555557</v>
      </c>
      <c r="S46" s="675">
        <f>IF(OR(S45&lt;$C$7,S45&gt;$C$8),0,$C$23)+IFERROR(HLOOKUP(S45-$C$24,$E$45:R46,2,FALSE),0)</f>
        <v>65.555555555555557</v>
      </c>
      <c r="T46" s="675">
        <f>IF(OR(T45&lt;$C$7,T45&gt;$C$8),0,$C$23)+IFERROR(HLOOKUP(T45-$C$24,$E$45:S46,2,FALSE),0)</f>
        <v>65.555555555555557</v>
      </c>
      <c r="U46" s="675">
        <f>IF(OR(U45&lt;$C$7,U45&gt;$C$8),0,$C$23)+IFERROR(HLOOKUP(U45-$C$24,$E$45:T46,2,FALSE),0)</f>
        <v>65.555555555555557</v>
      </c>
      <c r="V46" s="675">
        <f>IF(OR(V45&lt;$C$7,V45&gt;$C$8),0,$C$23)+IFERROR(HLOOKUP(V45-$C$24,$E$45:U46,2,FALSE),0)</f>
        <v>65.555555555555557</v>
      </c>
      <c r="W46" s="675">
        <f>IF(OR(W45&lt;$C$7,W45&gt;$C$8),0,$C$23)+IFERROR(HLOOKUP(W45-$C$24,$E$45:V46,2,FALSE),0)</f>
        <v>65.555555555555557</v>
      </c>
      <c r="X46" s="675">
        <f>IF(OR(X45&lt;$C$7,X45&gt;$C$8),0,$C$23)+IFERROR(HLOOKUP(X45-$C$24,$E$45:W46,2,FALSE),0)</f>
        <v>65.555555555555557</v>
      </c>
      <c r="Y46" s="675">
        <f>IF(OR(Y45&lt;$C$7,Y45&gt;$C$8),0,$C$23)+IFERROR(HLOOKUP(Y45-$C$24,$E$45:X46,2,FALSE),0)</f>
        <v>0</v>
      </c>
      <c r="Z46" s="675">
        <f>IF(OR(Z45&lt;$C$7,Z45&gt;$C$8),0,$C$23)+IFERROR(HLOOKUP(Z45-$C$24,$E$45:Y46,2,FALSE),0)</f>
        <v>0</v>
      </c>
      <c r="AA46" s="675">
        <f>IF(OR(AA45&lt;$C$7,AA45&gt;$C$8),0,$C$23)+IFERROR(HLOOKUP(AA45-$C$24,$E$45:Z46,2,FALSE),0)</f>
        <v>65.555555555555557</v>
      </c>
      <c r="AB46" s="675">
        <f>IF(OR(AB45&lt;$C$7,AB45&gt;$C$8),0,$C$23)+IFERROR(HLOOKUP(AB45-$C$24,$E$45:AA46,2,FALSE),0)</f>
        <v>65.555555555555557</v>
      </c>
      <c r="AC46" s="675">
        <f>IF(OR(AC45&lt;$C$7,AC45&gt;$C$8),0,$C$23)+IFERROR(HLOOKUP(AC45-$C$24,$E$45:AB46,2,FALSE),0)</f>
        <v>65.555555555555557</v>
      </c>
      <c r="AD46" s="675">
        <f>IF(OR(AD45&lt;$C$7,AD45&gt;$C$8),0,$C$23)+IFERROR(HLOOKUP(AD45-$C$24,$E$45:AC46,2,FALSE),0)</f>
        <v>65.555555555555557</v>
      </c>
      <c r="AE46" s="675">
        <f>IF(OR(AE45&lt;$C$7,AE45&gt;$C$8),0,$C$23)+IFERROR(HLOOKUP(AE45-$C$24,$E$45:AD46,2,FALSE),0)</f>
        <v>65.555555555555557</v>
      </c>
      <c r="AF46" s="675">
        <f>IF(OR(AF45&lt;$C$7,AF45&gt;$C$8),0,$C$23)+IFERROR(HLOOKUP(AF45-$C$24,$E$45:AE46,2,FALSE),0)</f>
        <v>65.555555555555557</v>
      </c>
      <c r="AG46" s="675">
        <f>IF(OR(AG45&lt;$C$7,AG45&gt;$C$8),0,$C$23)+IFERROR(HLOOKUP(AG45-$C$24,$E$45:AF46,2,FALSE),0)</f>
        <v>65.555555555555557</v>
      </c>
      <c r="AH46" s="675">
        <f>IF(OR(AH45&lt;$C$7,AH45&gt;$C$8),0,$C$23)+IFERROR(HLOOKUP(AH45-$C$24,$E$45:AG46,2,FALSE),0)</f>
        <v>65.555555555555557</v>
      </c>
      <c r="AI46" s="675">
        <f>IF(OR(AI45&lt;$C$7,AI45&gt;$C$8),0,$C$23)+IFERROR(HLOOKUP(AI45-$C$24,$E$45:AH46,2,FALSE),0)</f>
        <v>65.555555555555557</v>
      </c>
      <c r="AJ46" s="675">
        <f>IF(OR(AJ45&lt;$C$7,AJ45&gt;$C$8),0,$C$23)+IFERROR(HLOOKUP(AJ45-$C$24,$E$45:AI46,2,FALSE),0)</f>
        <v>0</v>
      </c>
      <c r="AK46" s="675">
        <f>IF(OR(AK45&lt;$C$7,AK45&gt;$C$8),0,$C$23)+IFERROR(HLOOKUP(AK45-$C$24,$E$45:AJ46,2,FALSE),0)</f>
        <v>0</v>
      </c>
      <c r="AL46" s="675">
        <f>IF(OR(AL45&lt;$C$7,AL45&gt;$C$8),0,$C$23)+IFERROR(HLOOKUP(AL45-$C$24,$E$45:AK46,2,FALSE),0)</f>
        <v>65.555555555555557</v>
      </c>
      <c r="AM46" s="675">
        <f>IF(OR(AM45&lt;$C$7,AM45&gt;$C$8),0,$C$23)+IFERROR(HLOOKUP(AM45-$C$24,$E$45:AL46,2,FALSE),0)</f>
        <v>65.555555555555557</v>
      </c>
      <c r="AN46" s="675">
        <f>IF(OR(AN45&lt;$C$7,AN45&gt;$C$8),0,$C$23)+IFERROR(HLOOKUP(AN45-$C$24,$E$45:AM46,2,FALSE),0)</f>
        <v>65.555555555555557</v>
      </c>
      <c r="AO46" s="675">
        <f>IF(OR(AO45&lt;$C$7,AO45&gt;$C$8),0,$C$23)+IFERROR(HLOOKUP(AO45-$C$24,$E$45:AN46,2,FALSE),0)</f>
        <v>65.555555555555557</v>
      </c>
      <c r="AP46" s="675">
        <f>IF(OR(AP45&lt;$C$7,AP45&gt;$C$8),0,$C$23)+IFERROR(HLOOKUP(AP45-$C$24,$E$45:AO46,2,FALSE),0)</f>
        <v>65.555555555555557</v>
      </c>
      <c r="AQ46" s="675">
        <f>IF(OR(AQ45&lt;$C$7,AQ45&gt;$C$8),0,$C$23)+IFERROR(HLOOKUP(AQ45-$C$24,$E$45:AP46,2,FALSE),0)</f>
        <v>65.555555555555557</v>
      </c>
      <c r="AR46" s="675">
        <f>IF(OR(AR45&lt;$C$7,AR45&gt;$C$8),0,$C$23)+IFERROR(HLOOKUP(AR45-$C$24,$E$45:AQ46,2,FALSE),0)</f>
        <v>65.555555555555557</v>
      </c>
      <c r="AS46" s="675">
        <f>IF(OR(AS45&lt;$C$7,AS45&gt;$C$8),0,$C$23)+IFERROR(HLOOKUP(AS45-$C$24,$E$45:AR46,2,FALSE),0)</f>
        <v>65.555555555555557</v>
      </c>
      <c r="AT46" s="675">
        <f>IF(OR(AT45&lt;$C$7,AT45&gt;$C$8),0,$C$23)+IFERROR(HLOOKUP(AT45-$C$24,$E$45:AS46,2,FALSE),0)</f>
        <v>65.555555555555557</v>
      </c>
      <c r="AU46" s="675">
        <f>IF(OR(AU45&lt;$C$7,AU45&gt;$C$8),0,$C$23)+IFERROR(HLOOKUP(AU45-$C$24,$E$45:AT46,2,FALSE),0)</f>
        <v>0</v>
      </c>
      <c r="AV46" s="676">
        <f>IF(OR(AV45&lt;$C$7,AV45&gt;$C$8),0,$C$23)+IFERROR(HLOOKUP(AV45-$C$24,$E$45:AU46,2,FALSE),0)</f>
        <v>0</v>
      </c>
    </row>
    <row r="47" spans="1:48" s="15" customFormat="1" ht="13.5" outlineLevel="1" x14ac:dyDescent="0.25">
      <c r="B47" s="817" t="s">
        <v>1320</v>
      </c>
      <c r="C47" s="818" t="s">
        <v>1319</v>
      </c>
      <c r="D47" s="675">
        <f>D46</f>
        <v>0</v>
      </c>
      <c r="E47" s="675">
        <f t="shared" ref="E47:AV47" si="5">D47+E46-IF(ISERROR(HLOOKUP(E45-$C$24,$D$45:$AH$46,2,FALSE)),0,HLOOKUP(E45-$C$24,$D$45:$AH$46,2,FALSE))</f>
        <v>65.555555555555557</v>
      </c>
      <c r="F47" s="675">
        <f t="shared" si="5"/>
        <v>131.11111111111111</v>
      </c>
      <c r="G47" s="675">
        <f t="shared" si="5"/>
        <v>196.66666666666669</v>
      </c>
      <c r="H47" s="675">
        <f t="shared" si="5"/>
        <v>262.22222222222223</v>
      </c>
      <c r="I47" s="675">
        <f t="shared" si="5"/>
        <v>327.77777777777777</v>
      </c>
      <c r="J47" s="675">
        <f t="shared" si="5"/>
        <v>393.33333333333331</v>
      </c>
      <c r="K47" s="675">
        <f t="shared" si="5"/>
        <v>458.88888888888886</v>
      </c>
      <c r="L47" s="675">
        <f t="shared" si="5"/>
        <v>524.44444444444446</v>
      </c>
      <c r="M47" s="675">
        <f t="shared" si="5"/>
        <v>590</v>
      </c>
      <c r="N47" s="675">
        <f t="shared" si="5"/>
        <v>590</v>
      </c>
      <c r="O47" s="675">
        <f t="shared" si="5"/>
        <v>590</v>
      </c>
      <c r="P47" s="675">
        <f t="shared" si="5"/>
        <v>590</v>
      </c>
      <c r="Q47" s="675">
        <f t="shared" si="5"/>
        <v>590</v>
      </c>
      <c r="R47" s="675">
        <f t="shared" si="5"/>
        <v>590</v>
      </c>
      <c r="S47" s="675">
        <f t="shared" si="5"/>
        <v>590</v>
      </c>
      <c r="T47" s="675">
        <f t="shared" si="5"/>
        <v>590</v>
      </c>
      <c r="U47" s="675">
        <f t="shared" si="5"/>
        <v>590</v>
      </c>
      <c r="V47" s="675">
        <f t="shared" si="5"/>
        <v>590</v>
      </c>
      <c r="W47" s="675">
        <f t="shared" si="5"/>
        <v>590</v>
      </c>
      <c r="X47" s="675">
        <f t="shared" si="5"/>
        <v>590</v>
      </c>
      <c r="Y47" s="675">
        <f t="shared" si="5"/>
        <v>590</v>
      </c>
      <c r="Z47" s="675">
        <f t="shared" si="5"/>
        <v>590</v>
      </c>
      <c r="AA47" s="675">
        <f t="shared" si="5"/>
        <v>590</v>
      </c>
      <c r="AB47" s="675">
        <f t="shared" si="5"/>
        <v>590</v>
      </c>
      <c r="AC47" s="675">
        <f t="shared" si="5"/>
        <v>590</v>
      </c>
      <c r="AD47" s="675">
        <f t="shared" si="5"/>
        <v>590</v>
      </c>
      <c r="AE47" s="675">
        <f t="shared" si="5"/>
        <v>590</v>
      </c>
      <c r="AF47" s="675">
        <f t="shared" si="5"/>
        <v>590</v>
      </c>
      <c r="AG47" s="675">
        <f t="shared" si="5"/>
        <v>590</v>
      </c>
      <c r="AH47" s="675">
        <f t="shared" si="5"/>
        <v>590</v>
      </c>
      <c r="AI47" s="675">
        <f t="shared" si="5"/>
        <v>590</v>
      </c>
      <c r="AJ47" s="675">
        <f t="shared" si="5"/>
        <v>590</v>
      </c>
      <c r="AK47" s="675">
        <f t="shared" si="5"/>
        <v>590</v>
      </c>
      <c r="AL47" s="675">
        <f t="shared" si="5"/>
        <v>590</v>
      </c>
      <c r="AM47" s="675">
        <f t="shared" si="5"/>
        <v>590</v>
      </c>
      <c r="AN47" s="675">
        <f t="shared" si="5"/>
        <v>590</v>
      </c>
      <c r="AO47" s="675">
        <f t="shared" si="5"/>
        <v>590</v>
      </c>
      <c r="AP47" s="675">
        <f t="shared" si="5"/>
        <v>590</v>
      </c>
      <c r="AQ47" s="675">
        <f t="shared" si="5"/>
        <v>590</v>
      </c>
      <c r="AR47" s="675">
        <f t="shared" si="5"/>
        <v>590</v>
      </c>
      <c r="AS47" s="675">
        <f t="shared" si="5"/>
        <v>590</v>
      </c>
      <c r="AT47" s="675">
        <f t="shared" si="5"/>
        <v>655.55555555555554</v>
      </c>
      <c r="AU47" s="675">
        <f t="shared" si="5"/>
        <v>655.55555555555554</v>
      </c>
      <c r="AV47" s="676">
        <f t="shared" si="5"/>
        <v>655.55555555555554</v>
      </c>
    </row>
    <row r="48" spans="1:48" s="15" customFormat="1" ht="13.5" outlineLevel="1" x14ac:dyDescent="0.25">
      <c r="B48" s="431"/>
      <c r="C48" s="719"/>
      <c r="D48" s="719"/>
      <c r="E48" s="719"/>
      <c r="F48" s="719"/>
      <c r="G48" s="719"/>
      <c r="H48" s="719"/>
      <c r="I48" s="719"/>
      <c r="J48" s="719"/>
      <c r="K48" s="719"/>
      <c r="L48" s="719"/>
      <c r="M48" s="719"/>
      <c r="N48" s="719"/>
      <c r="O48" s="719"/>
      <c r="P48" s="719"/>
      <c r="Q48" s="719"/>
      <c r="R48" s="719"/>
      <c r="S48" s="719"/>
      <c r="T48" s="719"/>
      <c r="U48" s="719"/>
      <c r="V48" s="719"/>
      <c r="W48" s="719"/>
      <c r="X48" s="719"/>
      <c r="Y48" s="719"/>
      <c r="Z48" s="719"/>
      <c r="AA48" s="719"/>
      <c r="AB48" s="719"/>
      <c r="AC48" s="719"/>
      <c r="AD48" s="719"/>
      <c r="AE48" s="719"/>
      <c r="AF48" s="719"/>
      <c r="AG48" s="719"/>
      <c r="AH48" s="719"/>
      <c r="AI48" s="719"/>
      <c r="AJ48" s="719"/>
      <c r="AK48" s="719"/>
      <c r="AL48" s="719"/>
      <c r="AM48" s="719"/>
      <c r="AN48" s="719"/>
      <c r="AO48" s="719"/>
      <c r="AP48" s="719"/>
      <c r="AQ48" s="719"/>
      <c r="AR48" s="719"/>
      <c r="AS48" s="719"/>
      <c r="AT48" s="719"/>
      <c r="AU48" s="719"/>
      <c r="AV48" s="434"/>
    </row>
    <row r="49" spans="2:48" s="15" customFormat="1" ht="13.5" outlineLevel="1" x14ac:dyDescent="0.25">
      <c r="B49" s="817" t="s">
        <v>1321</v>
      </c>
      <c r="C49" s="818" t="s">
        <v>1243</v>
      </c>
      <c r="D49" s="675">
        <f t="shared" ref="D49:AR49" si="6">D46*$C$14/1000</f>
        <v>0</v>
      </c>
      <c r="E49" s="675">
        <f t="shared" si="6"/>
        <v>13111.111111111111</v>
      </c>
      <c r="F49" s="675">
        <f t="shared" si="6"/>
        <v>13111.111111111111</v>
      </c>
      <c r="G49" s="675">
        <f t="shared" si="6"/>
        <v>13111.111111111111</v>
      </c>
      <c r="H49" s="675">
        <f t="shared" si="6"/>
        <v>13111.111111111111</v>
      </c>
      <c r="I49" s="675">
        <f t="shared" si="6"/>
        <v>13111.111111111111</v>
      </c>
      <c r="J49" s="675">
        <f t="shared" si="6"/>
        <v>13111.111111111111</v>
      </c>
      <c r="K49" s="675">
        <f t="shared" si="6"/>
        <v>13111.111111111111</v>
      </c>
      <c r="L49" s="675">
        <f t="shared" si="6"/>
        <v>13111.111111111111</v>
      </c>
      <c r="M49" s="675">
        <f t="shared" si="6"/>
        <v>13111.111111111111</v>
      </c>
      <c r="N49" s="675">
        <f t="shared" si="6"/>
        <v>0</v>
      </c>
      <c r="O49" s="675">
        <f t="shared" si="6"/>
        <v>0</v>
      </c>
      <c r="P49" s="675">
        <f t="shared" si="6"/>
        <v>13111.111111111111</v>
      </c>
      <c r="Q49" s="675">
        <f t="shared" si="6"/>
        <v>13111.111111111111</v>
      </c>
      <c r="R49" s="675">
        <f t="shared" si="6"/>
        <v>13111.111111111111</v>
      </c>
      <c r="S49" s="675">
        <f t="shared" si="6"/>
        <v>13111.111111111111</v>
      </c>
      <c r="T49" s="675">
        <f t="shared" si="6"/>
        <v>13111.111111111111</v>
      </c>
      <c r="U49" s="675">
        <f t="shared" si="6"/>
        <v>13111.111111111111</v>
      </c>
      <c r="V49" s="675">
        <f t="shared" si="6"/>
        <v>13111.111111111111</v>
      </c>
      <c r="W49" s="675">
        <f t="shared" si="6"/>
        <v>13111.111111111111</v>
      </c>
      <c r="X49" s="675">
        <f t="shared" si="6"/>
        <v>13111.111111111111</v>
      </c>
      <c r="Y49" s="675">
        <f t="shared" si="6"/>
        <v>0</v>
      </c>
      <c r="Z49" s="675">
        <f t="shared" si="6"/>
        <v>0</v>
      </c>
      <c r="AA49" s="675">
        <f t="shared" si="6"/>
        <v>13111.111111111111</v>
      </c>
      <c r="AB49" s="675">
        <f t="shared" si="6"/>
        <v>13111.111111111111</v>
      </c>
      <c r="AC49" s="675">
        <f t="shared" si="6"/>
        <v>13111.111111111111</v>
      </c>
      <c r="AD49" s="675">
        <f t="shared" si="6"/>
        <v>13111.111111111111</v>
      </c>
      <c r="AE49" s="675">
        <f t="shared" si="6"/>
        <v>13111.111111111111</v>
      </c>
      <c r="AF49" s="675">
        <f t="shared" si="6"/>
        <v>13111.111111111111</v>
      </c>
      <c r="AG49" s="675">
        <f t="shared" si="6"/>
        <v>13111.111111111111</v>
      </c>
      <c r="AH49" s="675">
        <f t="shared" si="6"/>
        <v>13111.111111111111</v>
      </c>
      <c r="AI49" s="675">
        <f t="shared" si="6"/>
        <v>13111.111111111111</v>
      </c>
      <c r="AJ49" s="675">
        <f t="shared" si="6"/>
        <v>0</v>
      </c>
      <c r="AK49" s="675">
        <f t="shared" si="6"/>
        <v>0</v>
      </c>
      <c r="AL49" s="675">
        <f t="shared" si="6"/>
        <v>13111.111111111111</v>
      </c>
      <c r="AM49" s="675">
        <f t="shared" si="6"/>
        <v>13111.111111111111</v>
      </c>
      <c r="AN49" s="675">
        <f t="shared" si="6"/>
        <v>13111.111111111111</v>
      </c>
      <c r="AO49" s="675">
        <f t="shared" si="6"/>
        <v>13111.111111111111</v>
      </c>
      <c r="AP49" s="675">
        <f t="shared" si="6"/>
        <v>13111.111111111111</v>
      </c>
      <c r="AQ49" s="675">
        <f t="shared" si="6"/>
        <v>13111.111111111111</v>
      </c>
      <c r="AR49" s="675">
        <f t="shared" si="6"/>
        <v>13111.111111111111</v>
      </c>
      <c r="AS49" s="675">
        <f t="shared" ref="AS49:AV49" si="7">AS46*$C$14/1000</f>
        <v>13111.111111111111</v>
      </c>
      <c r="AT49" s="675">
        <f t="shared" si="7"/>
        <v>13111.111111111111</v>
      </c>
      <c r="AU49" s="675">
        <f t="shared" si="7"/>
        <v>0</v>
      </c>
      <c r="AV49" s="676">
        <f t="shared" si="7"/>
        <v>0</v>
      </c>
    </row>
    <row r="50" spans="2:48" s="15" customFormat="1" ht="13.5" outlineLevel="1" x14ac:dyDescent="0.25">
      <c r="B50" s="817" t="s">
        <v>1322</v>
      </c>
      <c r="C50" s="818" t="s">
        <v>1243</v>
      </c>
      <c r="D50" s="675">
        <f t="shared" ref="D50:AR50" si="8">D46*$C$15/1000</f>
        <v>0</v>
      </c>
      <c r="E50" s="675">
        <f t="shared" si="8"/>
        <v>6555.5555555555557</v>
      </c>
      <c r="F50" s="675">
        <f t="shared" si="8"/>
        <v>6555.5555555555557</v>
      </c>
      <c r="G50" s="675">
        <f t="shared" si="8"/>
        <v>6555.5555555555557</v>
      </c>
      <c r="H50" s="675">
        <f t="shared" si="8"/>
        <v>6555.5555555555557</v>
      </c>
      <c r="I50" s="675">
        <f t="shared" si="8"/>
        <v>6555.5555555555557</v>
      </c>
      <c r="J50" s="675">
        <f t="shared" si="8"/>
        <v>6555.5555555555557</v>
      </c>
      <c r="K50" s="675">
        <f t="shared" si="8"/>
        <v>6555.5555555555557</v>
      </c>
      <c r="L50" s="675">
        <f t="shared" si="8"/>
        <v>6555.5555555555557</v>
      </c>
      <c r="M50" s="675">
        <f t="shared" si="8"/>
        <v>6555.5555555555557</v>
      </c>
      <c r="N50" s="675">
        <f t="shared" si="8"/>
        <v>0</v>
      </c>
      <c r="O50" s="675">
        <f t="shared" si="8"/>
        <v>0</v>
      </c>
      <c r="P50" s="675">
        <f t="shared" si="8"/>
        <v>6555.5555555555557</v>
      </c>
      <c r="Q50" s="675">
        <f t="shared" si="8"/>
        <v>6555.5555555555557</v>
      </c>
      <c r="R50" s="675">
        <f t="shared" si="8"/>
        <v>6555.5555555555557</v>
      </c>
      <c r="S50" s="675">
        <f t="shared" si="8"/>
        <v>6555.5555555555557</v>
      </c>
      <c r="T50" s="675">
        <f t="shared" si="8"/>
        <v>6555.5555555555557</v>
      </c>
      <c r="U50" s="675">
        <f t="shared" si="8"/>
        <v>6555.5555555555557</v>
      </c>
      <c r="V50" s="675">
        <f t="shared" si="8"/>
        <v>6555.5555555555557</v>
      </c>
      <c r="W50" s="675">
        <f t="shared" si="8"/>
        <v>6555.5555555555557</v>
      </c>
      <c r="X50" s="675">
        <f t="shared" si="8"/>
        <v>6555.5555555555557</v>
      </c>
      <c r="Y50" s="675">
        <f t="shared" si="8"/>
        <v>0</v>
      </c>
      <c r="Z50" s="675">
        <f t="shared" si="8"/>
        <v>0</v>
      </c>
      <c r="AA50" s="675">
        <f t="shared" si="8"/>
        <v>6555.5555555555557</v>
      </c>
      <c r="AB50" s="675">
        <f t="shared" si="8"/>
        <v>6555.5555555555557</v>
      </c>
      <c r="AC50" s="675">
        <f t="shared" si="8"/>
        <v>6555.5555555555557</v>
      </c>
      <c r="AD50" s="675">
        <f t="shared" si="8"/>
        <v>6555.5555555555557</v>
      </c>
      <c r="AE50" s="675">
        <f t="shared" si="8"/>
        <v>6555.5555555555557</v>
      </c>
      <c r="AF50" s="675">
        <f t="shared" si="8"/>
        <v>6555.5555555555557</v>
      </c>
      <c r="AG50" s="675">
        <f t="shared" si="8"/>
        <v>6555.5555555555557</v>
      </c>
      <c r="AH50" s="675">
        <f t="shared" si="8"/>
        <v>6555.5555555555557</v>
      </c>
      <c r="AI50" s="675">
        <f t="shared" si="8"/>
        <v>6555.5555555555557</v>
      </c>
      <c r="AJ50" s="675">
        <f t="shared" si="8"/>
        <v>0</v>
      </c>
      <c r="AK50" s="675">
        <f t="shared" si="8"/>
        <v>0</v>
      </c>
      <c r="AL50" s="675">
        <f t="shared" si="8"/>
        <v>6555.5555555555557</v>
      </c>
      <c r="AM50" s="675">
        <f t="shared" si="8"/>
        <v>6555.5555555555557</v>
      </c>
      <c r="AN50" s="675">
        <f t="shared" si="8"/>
        <v>6555.5555555555557</v>
      </c>
      <c r="AO50" s="675">
        <f t="shared" si="8"/>
        <v>6555.5555555555557</v>
      </c>
      <c r="AP50" s="675">
        <f t="shared" si="8"/>
        <v>6555.5555555555557</v>
      </c>
      <c r="AQ50" s="675">
        <f t="shared" si="8"/>
        <v>6555.5555555555557</v>
      </c>
      <c r="AR50" s="675">
        <f t="shared" si="8"/>
        <v>6555.5555555555557</v>
      </c>
      <c r="AS50" s="675">
        <f t="shared" ref="AS50:AV50" si="9">AS46*$C$15/1000</f>
        <v>6555.5555555555557</v>
      </c>
      <c r="AT50" s="675">
        <f t="shared" si="9"/>
        <v>6555.5555555555557</v>
      </c>
      <c r="AU50" s="675">
        <f t="shared" si="9"/>
        <v>0</v>
      </c>
      <c r="AV50" s="676">
        <f t="shared" si="9"/>
        <v>0</v>
      </c>
    </row>
    <row r="51" spans="2:48" s="15" customFormat="1" ht="13.5" outlineLevel="1" x14ac:dyDescent="0.25">
      <c r="B51" s="817" t="s">
        <v>1323</v>
      </c>
      <c r="C51" s="818" t="s">
        <v>1243</v>
      </c>
      <c r="D51" s="675">
        <f>D47*$C$16/1000</f>
        <v>0</v>
      </c>
      <c r="E51" s="675">
        <f t="shared" ref="E51:AR51" si="10">E47*$C$16/1000</f>
        <v>-403.96396396396409</v>
      </c>
      <c r="F51" s="675">
        <f t="shared" si="10"/>
        <v>-807.92792792792818</v>
      </c>
      <c r="G51" s="675">
        <f t="shared" si="10"/>
        <v>-1211.8918918918923</v>
      </c>
      <c r="H51" s="675">
        <f t="shared" si="10"/>
        <v>-1615.8558558558564</v>
      </c>
      <c r="I51" s="675">
        <f t="shared" si="10"/>
        <v>-2019.8198198198202</v>
      </c>
      <c r="J51" s="675">
        <f t="shared" si="10"/>
        <v>-2423.7837837837842</v>
      </c>
      <c r="K51" s="675">
        <f t="shared" si="10"/>
        <v>-2827.7477477477482</v>
      </c>
      <c r="L51" s="675">
        <f t="shared" si="10"/>
        <v>-3231.7117117117127</v>
      </c>
      <c r="M51" s="675">
        <f t="shared" si="10"/>
        <v>-3635.6756756756763</v>
      </c>
      <c r="N51" s="675">
        <f t="shared" si="10"/>
        <v>-3635.6756756756763</v>
      </c>
      <c r="O51" s="675">
        <f t="shared" si="10"/>
        <v>-3635.6756756756763</v>
      </c>
      <c r="P51" s="675">
        <f t="shared" si="10"/>
        <v>-3635.6756756756763</v>
      </c>
      <c r="Q51" s="675">
        <f t="shared" si="10"/>
        <v>-3635.6756756756763</v>
      </c>
      <c r="R51" s="675">
        <f t="shared" si="10"/>
        <v>-3635.6756756756763</v>
      </c>
      <c r="S51" s="675">
        <f t="shared" si="10"/>
        <v>-3635.6756756756763</v>
      </c>
      <c r="T51" s="675">
        <f t="shared" si="10"/>
        <v>-3635.6756756756763</v>
      </c>
      <c r="U51" s="675">
        <f t="shared" si="10"/>
        <v>-3635.6756756756763</v>
      </c>
      <c r="V51" s="675">
        <f t="shared" si="10"/>
        <v>-3635.6756756756763</v>
      </c>
      <c r="W51" s="675">
        <f t="shared" si="10"/>
        <v>-3635.6756756756763</v>
      </c>
      <c r="X51" s="675">
        <f t="shared" si="10"/>
        <v>-3635.6756756756763</v>
      </c>
      <c r="Y51" s="675">
        <f t="shared" si="10"/>
        <v>-3635.6756756756763</v>
      </c>
      <c r="Z51" s="675">
        <f t="shared" si="10"/>
        <v>-3635.6756756756763</v>
      </c>
      <c r="AA51" s="675">
        <f t="shared" si="10"/>
        <v>-3635.6756756756763</v>
      </c>
      <c r="AB51" s="675">
        <f t="shared" si="10"/>
        <v>-3635.6756756756763</v>
      </c>
      <c r="AC51" s="675">
        <f t="shared" si="10"/>
        <v>-3635.6756756756763</v>
      </c>
      <c r="AD51" s="675">
        <f t="shared" si="10"/>
        <v>-3635.6756756756763</v>
      </c>
      <c r="AE51" s="675">
        <f t="shared" si="10"/>
        <v>-3635.6756756756763</v>
      </c>
      <c r="AF51" s="675">
        <f t="shared" si="10"/>
        <v>-3635.6756756756763</v>
      </c>
      <c r="AG51" s="675">
        <f t="shared" si="10"/>
        <v>-3635.6756756756763</v>
      </c>
      <c r="AH51" s="675">
        <f t="shared" si="10"/>
        <v>-3635.6756756756763</v>
      </c>
      <c r="AI51" s="675">
        <f t="shared" si="10"/>
        <v>-3635.6756756756763</v>
      </c>
      <c r="AJ51" s="675">
        <f t="shared" si="10"/>
        <v>-3635.6756756756763</v>
      </c>
      <c r="AK51" s="675">
        <f t="shared" si="10"/>
        <v>-3635.6756756756763</v>
      </c>
      <c r="AL51" s="675">
        <f t="shared" si="10"/>
        <v>-3635.6756756756763</v>
      </c>
      <c r="AM51" s="675">
        <f t="shared" si="10"/>
        <v>-3635.6756756756763</v>
      </c>
      <c r="AN51" s="675">
        <f t="shared" si="10"/>
        <v>-3635.6756756756763</v>
      </c>
      <c r="AO51" s="675">
        <f t="shared" si="10"/>
        <v>-3635.6756756756763</v>
      </c>
      <c r="AP51" s="675">
        <f t="shared" si="10"/>
        <v>-3635.6756756756763</v>
      </c>
      <c r="AQ51" s="675">
        <f t="shared" si="10"/>
        <v>-3635.6756756756763</v>
      </c>
      <c r="AR51" s="675">
        <f t="shared" si="10"/>
        <v>-3635.6756756756763</v>
      </c>
      <c r="AS51" s="675">
        <f t="shared" ref="AS51:AV51" si="11">AS47*$C$16/1000</f>
        <v>-3635.6756756756763</v>
      </c>
      <c r="AT51" s="675">
        <f t="shared" si="11"/>
        <v>-4039.6396396396403</v>
      </c>
      <c r="AU51" s="675">
        <f t="shared" si="11"/>
        <v>-4039.6396396396403</v>
      </c>
      <c r="AV51" s="676">
        <f t="shared" si="11"/>
        <v>-4039.6396396396403</v>
      </c>
    </row>
    <row r="52" spans="2:48" s="15" customFormat="1" ht="13.5" outlineLevel="1" x14ac:dyDescent="0.25">
      <c r="B52" s="817" t="s">
        <v>1324</v>
      </c>
      <c r="C52" s="818" t="s">
        <v>1243</v>
      </c>
      <c r="D52" s="675">
        <f>D47*$C$17/1000</f>
        <v>0</v>
      </c>
      <c r="E52" s="675">
        <f t="shared" ref="E52:AR52" si="12">E47*$C$17/1000</f>
        <v>-385.62091503267976</v>
      </c>
      <c r="F52" s="675">
        <f t="shared" si="12"/>
        <v>-771.24183006535952</v>
      </c>
      <c r="G52" s="675">
        <f t="shared" si="12"/>
        <v>-1156.8627450980393</v>
      </c>
      <c r="H52" s="675">
        <f>H47*$C$17/1000</f>
        <v>-1542.483660130719</v>
      </c>
      <c r="I52" s="675">
        <f t="shared" si="12"/>
        <v>-1928.1045751633987</v>
      </c>
      <c r="J52" s="675">
        <f t="shared" si="12"/>
        <v>-2313.7254901960782</v>
      </c>
      <c r="K52" s="675">
        <f t="shared" si="12"/>
        <v>-2699.3464052287577</v>
      </c>
      <c r="L52" s="675">
        <f t="shared" si="12"/>
        <v>-3084.9673202614381</v>
      </c>
      <c r="M52" s="675">
        <f t="shared" si="12"/>
        <v>-3470.5882352941176</v>
      </c>
      <c r="N52" s="675">
        <f t="shared" si="12"/>
        <v>-3470.5882352941176</v>
      </c>
      <c r="O52" s="675">
        <f t="shared" si="12"/>
        <v>-3470.5882352941176</v>
      </c>
      <c r="P52" s="675">
        <f t="shared" si="12"/>
        <v>-3470.5882352941176</v>
      </c>
      <c r="Q52" s="675">
        <f t="shared" si="12"/>
        <v>-3470.5882352941176</v>
      </c>
      <c r="R52" s="675">
        <f t="shared" si="12"/>
        <v>-3470.5882352941176</v>
      </c>
      <c r="S52" s="675">
        <f t="shared" si="12"/>
        <v>-3470.5882352941176</v>
      </c>
      <c r="T52" s="675">
        <f t="shared" si="12"/>
        <v>-3470.5882352941176</v>
      </c>
      <c r="U52" s="675">
        <f t="shared" si="12"/>
        <v>-3470.5882352941176</v>
      </c>
      <c r="V52" s="675">
        <f t="shared" si="12"/>
        <v>-3470.5882352941176</v>
      </c>
      <c r="W52" s="675">
        <f t="shared" si="12"/>
        <v>-3470.5882352941176</v>
      </c>
      <c r="X52" s="675">
        <f t="shared" si="12"/>
        <v>-3470.5882352941176</v>
      </c>
      <c r="Y52" s="675">
        <f t="shared" si="12"/>
        <v>-3470.5882352941176</v>
      </c>
      <c r="Z52" s="675">
        <f t="shared" si="12"/>
        <v>-3470.5882352941176</v>
      </c>
      <c r="AA52" s="675">
        <f t="shared" si="12"/>
        <v>-3470.5882352941176</v>
      </c>
      <c r="AB52" s="675">
        <f t="shared" si="12"/>
        <v>-3470.5882352941176</v>
      </c>
      <c r="AC52" s="675">
        <f t="shared" si="12"/>
        <v>-3470.5882352941176</v>
      </c>
      <c r="AD52" s="675">
        <f t="shared" si="12"/>
        <v>-3470.5882352941176</v>
      </c>
      <c r="AE52" s="675">
        <f t="shared" si="12"/>
        <v>-3470.5882352941176</v>
      </c>
      <c r="AF52" s="675">
        <f t="shared" si="12"/>
        <v>-3470.5882352941176</v>
      </c>
      <c r="AG52" s="675">
        <f t="shared" si="12"/>
        <v>-3470.5882352941176</v>
      </c>
      <c r="AH52" s="675">
        <f t="shared" si="12"/>
        <v>-3470.5882352941176</v>
      </c>
      <c r="AI52" s="675">
        <f t="shared" si="12"/>
        <v>-3470.5882352941176</v>
      </c>
      <c r="AJ52" s="675">
        <f t="shared" si="12"/>
        <v>-3470.5882352941176</v>
      </c>
      <c r="AK52" s="675">
        <f t="shared" si="12"/>
        <v>-3470.5882352941176</v>
      </c>
      <c r="AL52" s="675">
        <f t="shared" si="12"/>
        <v>-3470.5882352941176</v>
      </c>
      <c r="AM52" s="675">
        <f t="shared" si="12"/>
        <v>-3470.5882352941176</v>
      </c>
      <c r="AN52" s="675">
        <f t="shared" si="12"/>
        <v>-3470.5882352941176</v>
      </c>
      <c r="AO52" s="675">
        <f t="shared" si="12"/>
        <v>-3470.5882352941176</v>
      </c>
      <c r="AP52" s="675">
        <f t="shared" si="12"/>
        <v>-3470.5882352941176</v>
      </c>
      <c r="AQ52" s="675">
        <f t="shared" si="12"/>
        <v>-3470.5882352941176</v>
      </c>
      <c r="AR52" s="675">
        <f t="shared" si="12"/>
        <v>-3470.5882352941176</v>
      </c>
      <c r="AS52" s="675">
        <f t="shared" ref="AS52:AV52" si="13">AS47*$C$17/1000</f>
        <v>-3470.5882352941176</v>
      </c>
      <c r="AT52" s="675">
        <f t="shared" si="13"/>
        <v>-3856.2091503267975</v>
      </c>
      <c r="AU52" s="675">
        <f t="shared" si="13"/>
        <v>-3856.2091503267975</v>
      </c>
      <c r="AV52" s="676">
        <f t="shared" si="13"/>
        <v>-3856.2091503267975</v>
      </c>
    </row>
    <row r="53" spans="2:48" s="39" customFormat="1" ht="13.5" outlineLevel="1" x14ac:dyDescent="0.25">
      <c r="B53" s="689" t="s">
        <v>1325</v>
      </c>
      <c r="C53" s="693" t="s">
        <v>1243</v>
      </c>
      <c r="D53" s="710">
        <f t="shared" ref="D53:AV53" si="14">SUM(D49:D52)</f>
        <v>0</v>
      </c>
      <c r="E53" s="710">
        <f t="shared" si="14"/>
        <v>18877.081787670024</v>
      </c>
      <c r="F53" s="710">
        <f t="shared" si="14"/>
        <v>18087.49690867338</v>
      </c>
      <c r="G53" s="710">
        <f t="shared" si="14"/>
        <v>17297.912029676736</v>
      </c>
      <c r="H53" s="710">
        <f>SUM(H49:H52)</f>
        <v>16508.327150680092</v>
      </c>
      <c r="I53" s="710">
        <f t="shared" si="14"/>
        <v>15718.74227168345</v>
      </c>
      <c r="J53" s="710">
        <f t="shared" si="14"/>
        <v>14929.157392686806</v>
      </c>
      <c r="K53" s="710">
        <f t="shared" si="14"/>
        <v>14139.572513690162</v>
      </c>
      <c r="L53" s="710">
        <f t="shared" si="14"/>
        <v>13349.987634693518</v>
      </c>
      <c r="M53" s="710">
        <f t="shared" si="14"/>
        <v>12560.402755696874</v>
      </c>
      <c r="N53" s="710">
        <f t="shared" si="14"/>
        <v>-7106.2639109697939</v>
      </c>
      <c r="O53" s="710">
        <f t="shared" si="14"/>
        <v>-7106.2639109697939</v>
      </c>
      <c r="P53" s="710">
        <f t="shared" si="14"/>
        <v>12560.402755696874</v>
      </c>
      <c r="Q53" s="710">
        <f t="shared" si="14"/>
        <v>12560.402755696874</v>
      </c>
      <c r="R53" s="710">
        <f t="shared" si="14"/>
        <v>12560.402755696874</v>
      </c>
      <c r="S53" s="710">
        <f t="shared" si="14"/>
        <v>12560.402755696874</v>
      </c>
      <c r="T53" s="710">
        <f t="shared" si="14"/>
        <v>12560.402755696874</v>
      </c>
      <c r="U53" s="710">
        <f t="shared" si="14"/>
        <v>12560.402755696874</v>
      </c>
      <c r="V53" s="710">
        <f t="shared" si="14"/>
        <v>12560.402755696874</v>
      </c>
      <c r="W53" s="710">
        <f t="shared" si="14"/>
        <v>12560.402755696874</v>
      </c>
      <c r="X53" s="710">
        <f t="shared" si="14"/>
        <v>12560.402755696874</v>
      </c>
      <c r="Y53" s="710">
        <f t="shared" si="14"/>
        <v>-7106.2639109697939</v>
      </c>
      <c r="Z53" s="710">
        <f t="shared" si="14"/>
        <v>-7106.2639109697939</v>
      </c>
      <c r="AA53" s="710">
        <f t="shared" si="14"/>
        <v>12560.402755696874</v>
      </c>
      <c r="AB53" s="710">
        <f t="shared" si="14"/>
        <v>12560.402755696874</v>
      </c>
      <c r="AC53" s="710">
        <f t="shared" si="14"/>
        <v>12560.402755696874</v>
      </c>
      <c r="AD53" s="710">
        <f t="shared" si="14"/>
        <v>12560.402755696874</v>
      </c>
      <c r="AE53" s="710">
        <f t="shared" si="14"/>
        <v>12560.402755696874</v>
      </c>
      <c r="AF53" s="710">
        <f t="shared" si="14"/>
        <v>12560.402755696874</v>
      </c>
      <c r="AG53" s="710">
        <f t="shared" si="14"/>
        <v>12560.402755696874</v>
      </c>
      <c r="AH53" s="710">
        <f t="shared" si="14"/>
        <v>12560.402755696874</v>
      </c>
      <c r="AI53" s="710">
        <f t="shared" si="14"/>
        <v>12560.402755696874</v>
      </c>
      <c r="AJ53" s="710">
        <f t="shared" si="14"/>
        <v>-7106.2639109697939</v>
      </c>
      <c r="AK53" s="710">
        <f t="shared" si="14"/>
        <v>-7106.2639109697939</v>
      </c>
      <c r="AL53" s="710">
        <f t="shared" si="14"/>
        <v>12560.402755696874</v>
      </c>
      <c r="AM53" s="710">
        <f t="shared" si="14"/>
        <v>12560.402755696874</v>
      </c>
      <c r="AN53" s="710">
        <f t="shared" si="14"/>
        <v>12560.402755696874</v>
      </c>
      <c r="AO53" s="710">
        <f t="shared" si="14"/>
        <v>12560.402755696874</v>
      </c>
      <c r="AP53" s="710">
        <f t="shared" si="14"/>
        <v>12560.402755696874</v>
      </c>
      <c r="AQ53" s="710">
        <f t="shared" si="14"/>
        <v>12560.402755696874</v>
      </c>
      <c r="AR53" s="710">
        <f t="shared" si="14"/>
        <v>12560.402755696874</v>
      </c>
      <c r="AS53" s="710">
        <f t="shared" si="14"/>
        <v>12560.402755696874</v>
      </c>
      <c r="AT53" s="710">
        <f t="shared" si="14"/>
        <v>11770.817876700228</v>
      </c>
      <c r="AU53" s="710">
        <f t="shared" si="14"/>
        <v>-7895.8487899664378</v>
      </c>
      <c r="AV53" s="426">
        <f t="shared" si="14"/>
        <v>-7895.8487899664378</v>
      </c>
    </row>
    <row r="54" spans="2:48" s="15" customFormat="1" ht="13.5" outlineLevel="1" x14ac:dyDescent="0.25">
      <c r="B54" s="817" t="s">
        <v>1326</v>
      </c>
      <c r="C54" s="818" t="s">
        <v>1327</v>
      </c>
      <c r="D54" s="675">
        <f t="shared" ref="D54:AV54" si="15">D47*$C$19/100*$C$20/1000</f>
        <v>0</v>
      </c>
      <c r="E54" s="675">
        <f t="shared" si="15"/>
        <v>1311.1111111111113</v>
      </c>
      <c r="F54" s="675">
        <f t="shared" si="15"/>
        <v>2622.2222222222226</v>
      </c>
      <c r="G54" s="675">
        <f t="shared" si="15"/>
        <v>3933.3333333333339</v>
      </c>
      <c r="H54" s="675">
        <f t="shared" si="15"/>
        <v>5244.4444444444453</v>
      </c>
      <c r="I54" s="675">
        <f t="shared" si="15"/>
        <v>6555.5555555555547</v>
      </c>
      <c r="J54" s="675">
        <f t="shared" si="15"/>
        <v>7866.6666666666652</v>
      </c>
      <c r="K54" s="675">
        <f t="shared" si="15"/>
        <v>9177.7777777777774</v>
      </c>
      <c r="L54" s="675">
        <f t="shared" si="15"/>
        <v>10488.888888888891</v>
      </c>
      <c r="M54" s="675">
        <f t="shared" si="15"/>
        <v>11800</v>
      </c>
      <c r="N54" s="675">
        <f t="shared" si="15"/>
        <v>11800</v>
      </c>
      <c r="O54" s="675">
        <f t="shared" si="15"/>
        <v>11800</v>
      </c>
      <c r="P54" s="675">
        <f t="shared" si="15"/>
        <v>11800</v>
      </c>
      <c r="Q54" s="675">
        <f t="shared" si="15"/>
        <v>11800</v>
      </c>
      <c r="R54" s="675">
        <f t="shared" si="15"/>
        <v>11800</v>
      </c>
      <c r="S54" s="675">
        <f t="shared" si="15"/>
        <v>11800</v>
      </c>
      <c r="T54" s="675">
        <f t="shared" si="15"/>
        <v>11800</v>
      </c>
      <c r="U54" s="675">
        <f t="shared" si="15"/>
        <v>11800</v>
      </c>
      <c r="V54" s="675">
        <f t="shared" si="15"/>
        <v>11800</v>
      </c>
      <c r="W54" s="675">
        <f t="shared" si="15"/>
        <v>11800</v>
      </c>
      <c r="X54" s="675">
        <f t="shared" si="15"/>
        <v>11800</v>
      </c>
      <c r="Y54" s="675">
        <f t="shared" si="15"/>
        <v>11800</v>
      </c>
      <c r="Z54" s="675">
        <f t="shared" si="15"/>
        <v>11800</v>
      </c>
      <c r="AA54" s="675">
        <f t="shared" si="15"/>
        <v>11800</v>
      </c>
      <c r="AB54" s="675">
        <f t="shared" si="15"/>
        <v>11800</v>
      </c>
      <c r="AC54" s="675">
        <f t="shared" si="15"/>
        <v>11800</v>
      </c>
      <c r="AD54" s="675">
        <f t="shared" si="15"/>
        <v>11800</v>
      </c>
      <c r="AE54" s="675">
        <f t="shared" si="15"/>
        <v>11800</v>
      </c>
      <c r="AF54" s="675">
        <f t="shared" si="15"/>
        <v>11800</v>
      </c>
      <c r="AG54" s="675">
        <f t="shared" si="15"/>
        <v>11800</v>
      </c>
      <c r="AH54" s="675">
        <f t="shared" si="15"/>
        <v>11800</v>
      </c>
      <c r="AI54" s="675">
        <f t="shared" si="15"/>
        <v>11800</v>
      </c>
      <c r="AJ54" s="675">
        <f t="shared" si="15"/>
        <v>11800</v>
      </c>
      <c r="AK54" s="675">
        <f t="shared" si="15"/>
        <v>11800</v>
      </c>
      <c r="AL54" s="675">
        <f t="shared" si="15"/>
        <v>11800</v>
      </c>
      <c r="AM54" s="675">
        <f t="shared" si="15"/>
        <v>11800</v>
      </c>
      <c r="AN54" s="675">
        <f t="shared" si="15"/>
        <v>11800</v>
      </c>
      <c r="AO54" s="675">
        <f t="shared" si="15"/>
        <v>11800</v>
      </c>
      <c r="AP54" s="675">
        <f t="shared" si="15"/>
        <v>11800</v>
      </c>
      <c r="AQ54" s="675">
        <f t="shared" si="15"/>
        <v>11800</v>
      </c>
      <c r="AR54" s="675">
        <f t="shared" si="15"/>
        <v>11800</v>
      </c>
      <c r="AS54" s="675">
        <f t="shared" si="15"/>
        <v>11800</v>
      </c>
      <c r="AT54" s="675">
        <f t="shared" si="15"/>
        <v>13111.111111111109</v>
      </c>
      <c r="AU54" s="675">
        <f t="shared" si="15"/>
        <v>13111.111111111109</v>
      </c>
      <c r="AV54" s="676">
        <f t="shared" si="15"/>
        <v>13111.111111111109</v>
      </c>
    </row>
    <row r="55" spans="2:48" s="15" customFormat="1" ht="13.5" outlineLevel="1" x14ac:dyDescent="0.25">
      <c r="B55" s="817" t="s">
        <v>1328</v>
      </c>
      <c r="C55" s="818" t="s">
        <v>659</v>
      </c>
      <c r="D55" s="675">
        <f t="shared" ref="D55:AV55" si="16">D47*$C$19/100*$C$21/1000</f>
        <v>0</v>
      </c>
      <c r="E55" s="675">
        <f t="shared" si="16"/>
        <v>5846.8468468468473</v>
      </c>
      <c r="F55" s="675">
        <f t="shared" si="16"/>
        <v>11693.693693693695</v>
      </c>
      <c r="G55" s="675">
        <f t="shared" si="16"/>
        <v>17540.54054054054</v>
      </c>
      <c r="H55" s="675">
        <f t="shared" si="16"/>
        <v>23387.387387387389</v>
      </c>
      <c r="I55" s="675">
        <f t="shared" si="16"/>
        <v>29234.234234234227</v>
      </c>
      <c r="J55" s="675">
        <f t="shared" si="16"/>
        <v>35081.081081081073</v>
      </c>
      <c r="K55" s="675">
        <f t="shared" si="16"/>
        <v>40927.927927927922</v>
      </c>
      <c r="L55" s="675">
        <f t="shared" si="16"/>
        <v>46774.774774774778</v>
      </c>
      <c r="M55" s="675">
        <f t="shared" si="16"/>
        <v>52621.621621621613</v>
      </c>
      <c r="N55" s="675">
        <f t="shared" si="16"/>
        <v>52621.621621621613</v>
      </c>
      <c r="O55" s="675">
        <f t="shared" si="16"/>
        <v>52621.621621621613</v>
      </c>
      <c r="P55" s="675">
        <f t="shared" si="16"/>
        <v>52621.621621621613</v>
      </c>
      <c r="Q55" s="675">
        <f t="shared" si="16"/>
        <v>52621.621621621613</v>
      </c>
      <c r="R55" s="675">
        <f t="shared" si="16"/>
        <v>52621.621621621613</v>
      </c>
      <c r="S55" s="675">
        <f t="shared" si="16"/>
        <v>52621.621621621613</v>
      </c>
      <c r="T55" s="675">
        <f t="shared" si="16"/>
        <v>52621.621621621613</v>
      </c>
      <c r="U55" s="675">
        <f t="shared" si="16"/>
        <v>52621.621621621613</v>
      </c>
      <c r="V55" s="675">
        <f t="shared" si="16"/>
        <v>52621.621621621613</v>
      </c>
      <c r="W55" s="675">
        <f t="shared" si="16"/>
        <v>52621.621621621613</v>
      </c>
      <c r="X55" s="675">
        <f t="shared" si="16"/>
        <v>52621.621621621613</v>
      </c>
      <c r="Y55" s="675">
        <f t="shared" si="16"/>
        <v>52621.621621621613</v>
      </c>
      <c r="Z55" s="675">
        <f t="shared" si="16"/>
        <v>52621.621621621613</v>
      </c>
      <c r="AA55" s="675">
        <f t="shared" si="16"/>
        <v>52621.621621621613</v>
      </c>
      <c r="AB55" s="675">
        <f t="shared" si="16"/>
        <v>52621.621621621613</v>
      </c>
      <c r="AC55" s="675">
        <f t="shared" si="16"/>
        <v>52621.621621621613</v>
      </c>
      <c r="AD55" s="675">
        <f t="shared" si="16"/>
        <v>52621.621621621613</v>
      </c>
      <c r="AE55" s="675">
        <f t="shared" si="16"/>
        <v>52621.621621621613</v>
      </c>
      <c r="AF55" s="675">
        <f t="shared" si="16"/>
        <v>52621.621621621613</v>
      </c>
      <c r="AG55" s="675">
        <f t="shared" si="16"/>
        <v>52621.621621621613</v>
      </c>
      <c r="AH55" s="675">
        <f t="shared" si="16"/>
        <v>52621.621621621613</v>
      </c>
      <c r="AI55" s="675">
        <f t="shared" si="16"/>
        <v>52621.621621621613</v>
      </c>
      <c r="AJ55" s="675">
        <f t="shared" si="16"/>
        <v>52621.621621621613</v>
      </c>
      <c r="AK55" s="675">
        <f t="shared" si="16"/>
        <v>52621.621621621613</v>
      </c>
      <c r="AL55" s="675">
        <f t="shared" si="16"/>
        <v>52621.621621621613</v>
      </c>
      <c r="AM55" s="675">
        <f t="shared" si="16"/>
        <v>52621.621621621613</v>
      </c>
      <c r="AN55" s="675">
        <f t="shared" si="16"/>
        <v>52621.621621621613</v>
      </c>
      <c r="AO55" s="675">
        <f t="shared" si="16"/>
        <v>52621.621621621613</v>
      </c>
      <c r="AP55" s="675">
        <f t="shared" si="16"/>
        <v>52621.621621621613</v>
      </c>
      <c r="AQ55" s="675">
        <f t="shared" si="16"/>
        <v>52621.621621621613</v>
      </c>
      <c r="AR55" s="675">
        <f t="shared" si="16"/>
        <v>52621.621621621613</v>
      </c>
      <c r="AS55" s="675">
        <f t="shared" si="16"/>
        <v>52621.621621621613</v>
      </c>
      <c r="AT55" s="675">
        <f t="shared" si="16"/>
        <v>58468.468468468454</v>
      </c>
      <c r="AU55" s="675">
        <f t="shared" si="16"/>
        <v>58468.468468468454</v>
      </c>
      <c r="AV55" s="676">
        <f t="shared" si="16"/>
        <v>58468.468468468454</v>
      </c>
    </row>
    <row r="56" spans="2:48" s="39" customFormat="1" ht="13.5" outlineLevel="1" x14ac:dyDescent="0.25">
      <c r="B56" s="689" t="s">
        <v>1261</v>
      </c>
      <c r="C56" s="693" t="s">
        <v>853</v>
      </c>
      <c r="D56" s="710">
        <f>D54*SISENDID!$D$418</f>
        <v>0</v>
      </c>
      <c r="E56" s="710">
        <f>E54*SISENDID!$D$418</f>
        <v>3470.930928888889</v>
      </c>
      <c r="F56" s="710">
        <f>F54*SISENDID!$D$418</f>
        <v>6941.8618577777779</v>
      </c>
      <c r="G56" s="710">
        <f>G54*SISENDID!$D$418</f>
        <v>10412.792786666667</v>
      </c>
      <c r="H56" s="710">
        <f>H54*SISENDID!$D$418</f>
        <v>13883.723715555556</v>
      </c>
      <c r="I56" s="710">
        <f>I54*SISENDID!$D$418</f>
        <v>17354.654644444439</v>
      </c>
      <c r="J56" s="710">
        <f>J54*SISENDID!$D$418</f>
        <v>20825.585573333326</v>
      </c>
      <c r="K56" s="710">
        <f>K54*SISENDID!$D$418</f>
        <v>24296.516502222221</v>
      </c>
      <c r="L56" s="710">
        <f>L54*SISENDID!$D$418</f>
        <v>27767.447431111112</v>
      </c>
      <c r="M56" s="710">
        <f>M54*SISENDID!$D$418</f>
        <v>31238.378359999999</v>
      </c>
      <c r="N56" s="710">
        <f>N54*SISENDID!$D$418</f>
        <v>31238.378359999999</v>
      </c>
      <c r="O56" s="710">
        <f>O54*SISENDID!$D$418</f>
        <v>31238.378359999999</v>
      </c>
      <c r="P56" s="710">
        <f>P54*SISENDID!$D$418</f>
        <v>31238.378359999999</v>
      </c>
      <c r="Q56" s="710">
        <f>Q54*SISENDID!$D$418</f>
        <v>31238.378359999999</v>
      </c>
      <c r="R56" s="710">
        <f>R54*SISENDID!$D$418</f>
        <v>31238.378359999999</v>
      </c>
      <c r="S56" s="710">
        <f>S54*SISENDID!$D$418</f>
        <v>31238.378359999999</v>
      </c>
      <c r="T56" s="710">
        <f>T54*SISENDID!$D$418</f>
        <v>31238.378359999999</v>
      </c>
      <c r="U56" s="710">
        <f>U54*SISENDID!$D$418</f>
        <v>31238.378359999999</v>
      </c>
      <c r="V56" s="710">
        <f>V54*SISENDID!$D$418</f>
        <v>31238.378359999999</v>
      </c>
      <c r="W56" s="710">
        <f>W54*SISENDID!$D$418</f>
        <v>31238.378359999999</v>
      </c>
      <c r="X56" s="710">
        <f>X54*SISENDID!$D$418</f>
        <v>31238.378359999999</v>
      </c>
      <c r="Y56" s="710">
        <f>Y54*SISENDID!$D$418</f>
        <v>31238.378359999999</v>
      </c>
      <c r="Z56" s="710">
        <f>Z54*SISENDID!$D$418</f>
        <v>31238.378359999999</v>
      </c>
      <c r="AA56" s="710">
        <f>AA54*SISENDID!$D$418</f>
        <v>31238.378359999999</v>
      </c>
      <c r="AB56" s="710">
        <f>AB54*SISENDID!$D$418</f>
        <v>31238.378359999999</v>
      </c>
      <c r="AC56" s="710">
        <f>AC54*SISENDID!$D$418</f>
        <v>31238.378359999999</v>
      </c>
      <c r="AD56" s="710">
        <f>AD54*SISENDID!$D$418</f>
        <v>31238.378359999999</v>
      </c>
      <c r="AE56" s="710">
        <f>AE54*SISENDID!$D$418</f>
        <v>31238.378359999999</v>
      </c>
      <c r="AF56" s="710">
        <f>AF54*SISENDID!$D$418</f>
        <v>31238.378359999999</v>
      </c>
      <c r="AG56" s="710">
        <f>AG54*SISENDID!$D$418</f>
        <v>31238.378359999999</v>
      </c>
      <c r="AH56" s="710">
        <f>AH54*SISENDID!$D$418</f>
        <v>31238.378359999999</v>
      </c>
      <c r="AI56" s="710">
        <f>AI54*SISENDID!$D$418</f>
        <v>31238.378359999999</v>
      </c>
      <c r="AJ56" s="710">
        <f>AJ54*SISENDID!$D$418</f>
        <v>31238.378359999999</v>
      </c>
      <c r="AK56" s="710">
        <f>AK54*SISENDID!$D$418</f>
        <v>31238.378359999999</v>
      </c>
      <c r="AL56" s="710">
        <f>AL54*SISENDID!$D$418</f>
        <v>31238.378359999999</v>
      </c>
      <c r="AM56" s="710">
        <f>AM54*SISENDID!$D$418</f>
        <v>31238.378359999999</v>
      </c>
      <c r="AN56" s="710">
        <f>AN54*SISENDID!$D$418</f>
        <v>31238.378359999999</v>
      </c>
      <c r="AO56" s="710">
        <f>AO54*SISENDID!$D$418</f>
        <v>31238.378359999999</v>
      </c>
      <c r="AP56" s="710">
        <f>AP54*SISENDID!$D$418</f>
        <v>31238.378359999999</v>
      </c>
      <c r="AQ56" s="710">
        <f>AQ54*SISENDID!$D$418</f>
        <v>31238.378359999999</v>
      </c>
      <c r="AR56" s="710">
        <f>AR54*SISENDID!$D$418</f>
        <v>31238.378359999999</v>
      </c>
      <c r="AS56" s="710">
        <f>AS54*SISENDID!$D$418</f>
        <v>31238.378359999999</v>
      </c>
      <c r="AT56" s="710">
        <f>AT54*SISENDID!$D$418</f>
        <v>34709.309288888879</v>
      </c>
      <c r="AU56" s="710">
        <f>AU54*SISENDID!$D$418</f>
        <v>34709.309288888879</v>
      </c>
      <c r="AV56" s="426">
        <f>AV54*SISENDID!$D$418</f>
        <v>34709.309288888879</v>
      </c>
    </row>
    <row r="58" spans="2:48" x14ac:dyDescent="0.25">
      <c r="B58" s="125"/>
    </row>
    <row r="59" spans="2:48" x14ac:dyDescent="0.25">
      <c r="B59" s="294"/>
      <c r="C59" s="127"/>
    </row>
    <row r="60" spans="2:48" x14ac:dyDescent="0.25">
      <c r="B60" s="294"/>
      <c r="C60" s="128"/>
    </row>
    <row r="61" spans="2:48" x14ac:dyDescent="0.25">
      <c r="B61" s="294"/>
      <c r="C61" s="128"/>
    </row>
    <row r="62" spans="2:48" x14ac:dyDescent="0.25">
      <c r="B62" s="129"/>
      <c r="C62" s="128"/>
      <c r="D62" s="130"/>
    </row>
    <row r="63" spans="2:48" x14ac:dyDescent="0.25">
      <c r="C63" s="128"/>
      <c r="D63" s="130"/>
    </row>
    <row r="64" spans="2:48" x14ac:dyDescent="0.25">
      <c r="C64" s="128"/>
      <c r="D64" s="131"/>
    </row>
    <row r="65" spans="3:4" x14ac:dyDescent="0.25">
      <c r="C65" s="127"/>
      <c r="D65" s="131"/>
    </row>
    <row r="66" spans="3:4" x14ac:dyDescent="0.25">
      <c r="C66" s="127"/>
      <c r="D66" s="131"/>
    </row>
    <row r="67" spans="3:4" x14ac:dyDescent="0.25">
      <c r="C67" s="127"/>
      <c r="D67" s="131"/>
    </row>
    <row r="68" spans="3:4" x14ac:dyDescent="0.25">
      <c r="C68" s="127"/>
      <c r="D68" s="131"/>
    </row>
  </sheetData>
  <sheetProtection algorithmName="SHA-512" hashValue="ZT4/UPNw1rFgjPN7m1YEy+R6EQWoqAjVhUArHvNj+Nk7/3dvOGd3ZfsbF6KcoZHYmuRspcxsX1CIOaFMQ9cv5g==" saltValue="Mgt6tu8Hg7mcIhsvaSnuUg==" spinCount="100000" sheet="1" objects="1" scenarios="1" selectLockedCells="1"/>
  <dataConsolidate/>
  <mergeCells count="2">
    <mergeCell ref="B3:F3"/>
    <mergeCell ref="G3:L3"/>
  </mergeCells>
  <conditionalFormatting sqref="C39:C41">
    <cfRule type="containsText" dxfId="44" priority="1" operator="containsText" text="Kõrge">
      <formula>NOT(ISERROR(SEARCH("Kõrge",C39)))</formula>
    </cfRule>
    <cfRule type="containsText" dxfId="43" priority="2" operator="containsText" text="Mõõdukas">
      <formula>NOT(ISERROR(SEARCH("Mõõdukas",C39)))</formula>
    </cfRule>
    <cfRule type="containsText" dxfId="42" priority="3" operator="containsText" text="Madal">
      <formula>NOT(ISERROR(SEARCH("Madal",C39)))</formula>
    </cfRule>
  </conditionalFormatting>
  <dataValidations count="3">
    <dataValidation type="list" allowBlank="1" showInputMessage="1" showErrorMessage="1" sqref="C41" xr:uid="{C91791E5-1327-43E4-88C4-C77E5BC973AA}">
      <formula1>I39:I41</formula1>
    </dataValidation>
    <dataValidation type="list" allowBlank="1" showInputMessage="1" showErrorMessage="1" sqref="C40" xr:uid="{59DBC4CA-66CE-481C-B5F4-0DF170248307}">
      <formula1>I39:I41</formula1>
    </dataValidation>
    <dataValidation type="list" allowBlank="1" showInputMessage="1" showErrorMessage="1" sqref="C39" xr:uid="{13C6CA2E-1362-44E7-9D0C-8131DEE87D7C}">
      <formula1>I39:I41</formula1>
    </dataValidation>
  </dataValidations>
  <hyperlinks>
    <hyperlink ref="B1" location="MEETMED!A1" display="&lt;-MEETMETE NIMEKIRI" xr:uid="{5A3C77D0-4548-4C92-A902-B29410F81313}"/>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1DC3-90B2-4013-BE69-2C88C66E7137}">
  <sheetPr>
    <tabColor theme="5" tint="0.79998168889431442"/>
  </sheetPr>
  <dimension ref="A1:AV71"/>
  <sheetViews>
    <sheetView showGridLines="0" workbookViewId="0">
      <selection activeCell="C20" activeCellId="3" sqref="C7:C8 C10:C14 C16:C18 C20:C22"/>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6" width="11.85546875" customWidth="1"/>
    <col min="7" max="8" width="9.7109375" customWidth="1"/>
    <col min="9" max="9" width="9" customWidth="1"/>
    <col min="10" max="10" width="12.140625"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110.25" customHeight="1" x14ac:dyDescent="0.25">
      <c r="A3" s="260" t="s">
        <v>429</v>
      </c>
      <c r="B3" s="700" t="s">
        <v>1329</v>
      </c>
      <c r="C3" s="700"/>
      <c r="D3" s="990" t="str" cm="1">
        <f t="array" ref="D3">IF(A3="","",_xlfn.LET(
_xlpm.k,TRIM(A3),
_xlpm.codes,IF(ISNUMBER(SEARCH("-",_xlpm.k)),
_xlfn.LET(
_xlpm.startPart,_xlfn.TEXTBEFORE(_xlpm.k,"-"),
_xlpm.endNum,--_xlfn.TEXTAFTER(_xlpm.k,"-"),
_xlpm.p,MIN(IFERROR(FIND({0;1;2;3;4;5;6;7;8;9},_xlpm.startPart),1000000000)),
_xlpm.prefix,LEFT(_xlpm.startPart,_xlpm.p-1),
_xlpm.startNum,--MID(_xlpm.startPart,_xlpm.p,99),
_xlpm.prefix&amp;_xlfn.SEQUENCE(_xlpm.endNum-_xlpm.startNum+1,1,_xlpm.startNum,1)
),
_xlpm.k
),
_xlpm.tegevused,IFERROR(_xlfn._xlws.FILTER(MEETMED!$D:$D,ISNUMBER(MATCH(MEETMED!$B:$B,_xlpm.codes,0))),""),
"TEGEVUS: "&amp;_xlfn.TEXTJOIN(CHAR(10),TRUE,_xlpm.tegevused)
))</f>
        <v>TEGEVUS: Tallinna regiooni ühtse ÜT süsteemi loomine (liinivõrgud ja ümberistumised)
Nõuda uusarenduste juures ühistranspordi loomist, juhul kui seda piirkonnas veel ei ole. Eelisarendada ühistranspordi läheduses (erinevaid viise, kuidas läheneda teemale).
Kõikidel põhiteedel on ühissõidukirada, eelistatavalt tee keskel, bussitaskute vajaduse eemaldamine
Ühistranspordi eelisõigus (roheline laine) ristmikel 
Igale elanikule ühistranspordipeatus (piisava teenustasemega) maksimaalselt 400 meetri kaugusel 
Ühistransport erivajadusega inimestele ligipääsetavamaks - ka veeremi osas</v>
      </c>
      <c r="E3" s="990"/>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2"/>
    </row>
    <row r="7" spans="1:27" s="1" customFormat="1" outlineLevel="1" x14ac:dyDescent="0.25">
      <c r="B7" s="802" t="s">
        <v>1330</v>
      </c>
      <c r="C7" s="902">
        <v>2027</v>
      </c>
      <c r="D7" s="7" t="s">
        <v>863</v>
      </c>
      <c r="E7" s="309"/>
      <c r="J7" s="277" t="s">
        <v>876</v>
      </c>
    </row>
    <row r="8" spans="1:27" s="1" customFormat="1" outlineLevel="1" x14ac:dyDescent="0.25">
      <c r="B8" s="802" t="s">
        <v>1263</v>
      </c>
      <c r="C8" s="902">
        <v>5</v>
      </c>
      <c r="D8" s="7" t="s">
        <v>863</v>
      </c>
      <c r="E8" s="309"/>
      <c r="J8" s="893" t="s">
        <v>1670</v>
      </c>
      <c r="K8" s="305" t="s">
        <v>877</v>
      </c>
    </row>
    <row r="9" spans="1:27" s="1" customFormat="1" outlineLevel="1" x14ac:dyDescent="0.25">
      <c r="B9" s="802" t="s">
        <v>1264</v>
      </c>
      <c r="C9" s="810">
        <f>C7+C8-1</f>
        <v>2031</v>
      </c>
      <c r="D9" s="7" t="s">
        <v>863</v>
      </c>
      <c r="J9" s="892" t="s">
        <v>878</v>
      </c>
      <c r="K9" s="305" t="s">
        <v>1669</v>
      </c>
    </row>
    <row r="10" spans="1:27" s="1" customFormat="1" outlineLevel="1" x14ac:dyDescent="0.25">
      <c r="B10" s="802" t="s">
        <v>1331</v>
      </c>
      <c r="C10" s="904">
        <v>0.1</v>
      </c>
      <c r="D10" s="7"/>
      <c r="E10" s="309"/>
      <c r="F10" s="305"/>
      <c r="H10" s="309"/>
      <c r="J10" s="892" t="s">
        <v>1671</v>
      </c>
      <c r="K10" s="228">
        <v>1234</v>
      </c>
    </row>
    <row r="11" spans="1:27" s="1" customFormat="1" outlineLevel="1" x14ac:dyDescent="0.25">
      <c r="B11" s="802" t="s">
        <v>1332</v>
      </c>
      <c r="C11" s="903">
        <v>10</v>
      </c>
      <c r="D11" s="7" t="s">
        <v>863</v>
      </c>
      <c r="E11" s="309"/>
    </row>
    <row r="12" spans="1:27" s="1" customFormat="1" outlineLevel="1" x14ac:dyDescent="0.25">
      <c r="B12" s="802" t="s">
        <v>1333</v>
      </c>
      <c r="C12" s="904">
        <v>0.75</v>
      </c>
      <c r="D12" s="7"/>
      <c r="E12" s="309"/>
    </row>
    <row r="13" spans="1:27" s="1" customFormat="1" outlineLevel="1" x14ac:dyDescent="0.25">
      <c r="B13" s="802" t="s">
        <v>1267</v>
      </c>
      <c r="C13" s="905">
        <v>5</v>
      </c>
      <c r="D13" s="7" t="s">
        <v>1232</v>
      </c>
      <c r="E13" s="165"/>
      <c r="F13" s="7"/>
      <c r="G13" s="7"/>
      <c r="H13" s="7"/>
      <c r="I13" s="7"/>
      <c r="J13" s="7"/>
      <c r="K13" s="7"/>
      <c r="L13" s="7"/>
    </row>
    <row r="14" spans="1:27" s="1" customFormat="1" outlineLevel="1" x14ac:dyDescent="0.25">
      <c r="B14" s="802" t="s">
        <v>1268</v>
      </c>
      <c r="C14" s="905">
        <v>1.4</v>
      </c>
      <c r="D14" s="7" t="s">
        <v>1269</v>
      </c>
      <c r="E14" s="165"/>
      <c r="F14" s="7"/>
      <c r="G14" s="7"/>
      <c r="H14" s="7"/>
      <c r="I14" s="7"/>
      <c r="J14" s="7"/>
      <c r="K14" s="7"/>
      <c r="L14" s="7"/>
    </row>
    <row r="15" spans="1:27" outlineLevel="1" x14ac:dyDescent="0.25">
      <c r="B15" s="715" t="s">
        <v>1271</v>
      </c>
      <c r="C15" s="502"/>
      <c r="D15" s="314"/>
    </row>
    <row r="16" spans="1:27" s="1" customFormat="1" outlineLevel="1" x14ac:dyDescent="0.25">
      <c r="B16" s="802" t="s">
        <v>1334</v>
      </c>
      <c r="C16" s="903">
        <v>50</v>
      </c>
      <c r="D16" s="7" t="s">
        <v>1273</v>
      </c>
      <c r="E16" s="309"/>
      <c r="F16" s="7" t="s">
        <v>1335</v>
      </c>
      <c r="G16" s="7"/>
      <c r="H16" s="7"/>
      <c r="I16" s="7"/>
      <c r="J16" s="7"/>
      <c r="K16" s="7"/>
      <c r="L16" s="7"/>
    </row>
    <row r="17" spans="1:34" s="1" customFormat="1" outlineLevel="1" x14ac:dyDescent="0.25">
      <c r="B17" s="802" t="s">
        <v>1336</v>
      </c>
      <c r="C17" s="903">
        <v>60</v>
      </c>
      <c r="D17" s="7" t="s">
        <v>1232</v>
      </c>
      <c r="E17" s="309"/>
      <c r="F17" s="7" t="s">
        <v>1337</v>
      </c>
      <c r="G17" s="7"/>
      <c r="H17" s="7"/>
      <c r="I17" s="7"/>
      <c r="J17" s="7"/>
      <c r="K17" s="7"/>
      <c r="L17" s="7"/>
    </row>
    <row r="18" spans="1:34" s="1" customFormat="1" outlineLevel="1" x14ac:dyDescent="0.25">
      <c r="B18" s="802" t="s">
        <v>1338</v>
      </c>
      <c r="C18" s="905">
        <v>1</v>
      </c>
      <c r="D18" s="7" t="s">
        <v>1339</v>
      </c>
      <c r="E18" s="309"/>
      <c r="F18" s="305" t="s">
        <v>1340</v>
      </c>
      <c r="G18" s="7"/>
      <c r="H18" s="7"/>
      <c r="I18" s="7"/>
      <c r="J18" s="7"/>
      <c r="K18" s="7"/>
      <c r="L18" s="7"/>
    </row>
    <row r="19" spans="1:34" s="1" customFormat="1" outlineLevel="1" x14ac:dyDescent="0.25">
      <c r="B19" s="802" t="s">
        <v>1341</v>
      </c>
      <c r="C19" s="811"/>
      <c r="D19" s="7"/>
      <c r="E19" s="309"/>
      <c r="F19" s="305" t="s">
        <v>1342</v>
      </c>
      <c r="G19" s="7"/>
      <c r="H19" s="7"/>
      <c r="I19" s="7"/>
      <c r="J19" s="7"/>
      <c r="K19" s="7"/>
      <c r="L19" s="7"/>
    </row>
    <row r="20" spans="1:34" s="1" customFormat="1" outlineLevel="1" x14ac:dyDescent="0.25">
      <c r="B20" s="802" t="s">
        <v>1217</v>
      </c>
      <c r="C20" s="905">
        <v>1.5</v>
      </c>
      <c r="D20" s="7" t="s">
        <v>1218</v>
      </c>
      <c r="E20" s="305"/>
      <c r="F20" s="7"/>
      <c r="G20" s="7"/>
      <c r="H20" s="7"/>
      <c r="I20" s="7"/>
      <c r="J20" s="7"/>
      <c r="K20" s="7"/>
      <c r="L20" s="7"/>
    </row>
    <row r="21" spans="1:34" s="1" customFormat="1" outlineLevel="1" x14ac:dyDescent="0.25">
      <c r="B21" s="802" t="s">
        <v>1275</v>
      </c>
      <c r="C21" s="905">
        <v>0.2</v>
      </c>
      <c r="D21" s="7" t="s">
        <v>1220</v>
      </c>
      <c r="E21" s="305"/>
      <c r="F21" s="7"/>
      <c r="G21" s="7"/>
      <c r="H21" s="7"/>
      <c r="I21" s="7"/>
      <c r="J21" s="7"/>
      <c r="K21" s="7"/>
      <c r="L21" s="7"/>
    </row>
    <row r="22" spans="1:34" s="1" customFormat="1" outlineLevel="1" x14ac:dyDescent="0.25">
      <c r="B22" s="802" t="s">
        <v>1222</v>
      </c>
      <c r="C22" s="904">
        <v>0.5</v>
      </c>
      <c r="D22" s="7" t="s">
        <v>1223</v>
      </c>
      <c r="E22" s="305"/>
      <c r="F22" s="7"/>
      <c r="G22" s="7"/>
      <c r="H22" s="7"/>
      <c r="I22" s="7"/>
      <c r="J22" s="7"/>
      <c r="K22" s="7"/>
      <c r="L22" s="7"/>
    </row>
    <row r="23" spans="1:34" s="1" customFormat="1" ht="6.75" customHeight="1" outlineLevel="1" x14ac:dyDescent="0.25">
      <c r="B23" s="7"/>
      <c r="C23" s="7"/>
      <c r="D23" s="7"/>
      <c r="E23" s="7"/>
      <c r="F23" s="7"/>
      <c r="G23" s="7"/>
      <c r="H23" s="7"/>
      <c r="I23" s="7"/>
      <c r="J23" s="7"/>
      <c r="K23" s="7"/>
      <c r="L23" s="7"/>
    </row>
    <row r="24" spans="1:34" s="1" customFormat="1" ht="16.5" customHeight="1" x14ac:dyDescent="0.25">
      <c r="B24" s="6"/>
      <c r="C24" s="6"/>
      <c r="D24" s="7"/>
      <c r="E24" s="7"/>
    </row>
    <row r="25" spans="1:34" x14ac:dyDescent="0.25">
      <c r="A25" s="1"/>
      <c r="B25" s="659" t="s">
        <v>895</v>
      </c>
      <c r="C25" s="659"/>
      <c r="D25" s="659"/>
      <c r="E25" s="659"/>
      <c r="F25" s="659"/>
      <c r="G25" s="659"/>
      <c r="H25" s="659"/>
      <c r="I25" s="659"/>
      <c r="J25" s="659"/>
      <c r="K25" s="659"/>
      <c r="L25" s="659"/>
      <c r="M25" s="1"/>
      <c r="N25" s="1"/>
      <c r="O25" s="1"/>
      <c r="P25" s="1"/>
      <c r="Q25" s="1"/>
      <c r="R25" s="1"/>
      <c r="S25" s="1"/>
      <c r="T25" s="1"/>
      <c r="U25" s="1"/>
      <c r="V25" s="1"/>
      <c r="W25" s="1"/>
      <c r="X25" s="1"/>
      <c r="Y25" s="1"/>
      <c r="Z25" s="1"/>
      <c r="AA25" s="1"/>
      <c r="AB25" s="1"/>
      <c r="AC25" s="1"/>
      <c r="AD25" s="1"/>
      <c r="AE25" s="1"/>
      <c r="AF25" s="1"/>
      <c r="AG25" s="1"/>
      <c r="AH25" s="1"/>
    </row>
    <row r="26" spans="1:34" s="1" customFormat="1" outlineLevel="1" x14ac:dyDescent="0.25">
      <c r="B26" s="831" t="s">
        <v>896</v>
      </c>
      <c r="C26" s="740"/>
      <c r="D26" s="43"/>
      <c r="E26" s="284" t="s">
        <v>897</v>
      </c>
    </row>
    <row r="27" spans="1:34" s="1" customFormat="1" outlineLevel="1" x14ac:dyDescent="0.25">
      <c r="B27" s="832" t="s">
        <v>898</v>
      </c>
      <c r="C27" s="665" t="s">
        <v>899</v>
      </c>
      <c r="D27" s="43"/>
      <c r="E27" s="661"/>
      <c r="F27" s="701" t="s">
        <v>900</v>
      </c>
    </row>
    <row r="28" spans="1:34" s="1" customFormat="1" outlineLevel="1" x14ac:dyDescent="0.25">
      <c r="B28" s="672" t="s">
        <v>398</v>
      </c>
      <c r="C28" s="666">
        <f>AVERAGE(D48:AB48)/1000</f>
        <v>2.4</v>
      </c>
      <c r="E28" s="663">
        <v>2030</v>
      </c>
      <c r="F28" s="670">
        <f>H59</f>
        <v>1289.4152931163628</v>
      </c>
    </row>
    <row r="29" spans="1:34" s="1" customFormat="1" outlineLevel="1" x14ac:dyDescent="0.25">
      <c r="B29" s="671" t="s">
        <v>399</v>
      </c>
      <c r="C29" s="667">
        <f>C28</f>
        <v>2.4</v>
      </c>
      <c r="E29" s="155">
        <v>2035</v>
      </c>
      <c r="F29" s="428">
        <f>M59</f>
        <v>2089.7661143259816</v>
      </c>
    </row>
    <row r="30" spans="1:34" s="1" customFormat="1" outlineLevel="1" x14ac:dyDescent="0.25">
      <c r="B30" s="672" t="s">
        <v>400</v>
      </c>
      <c r="C30" s="666">
        <f>SUM(D51:AB51)/25/1000</f>
        <v>0.27785072140886058</v>
      </c>
      <c r="E30" s="663">
        <v>2040</v>
      </c>
      <c r="F30" s="670">
        <f>R59</f>
        <v>1821.5989255378224</v>
      </c>
    </row>
    <row r="31" spans="1:34" s="1" customFormat="1" ht="15" customHeight="1" outlineLevel="1" x14ac:dyDescent="0.25">
      <c r="B31" s="671" t="s">
        <v>401</v>
      </c>
      <c r="C31" s="667">
        <f>SUM(D48:AB48)/25/1000</f>
        <v>2.4</v>
      </c>
      <c r="E31" s="155">
        <v>2045</v>
      </c>
      <c r="F31" s="428">
        <f>W59</f>
        <v>1294.5454216508426</v>
      </c>
    </row>
    <row r="32" spans="1:34" s="1" customFormat="1" outlineLevel="1" x14ac:dyDescent="0.25">
      <c r="B32" s="672" t="s">
        <v>901</v>
      </c>
      <c r="C32" s="670">
        <f>MAX(D59:AR59)</f>
        <v>2172.0434925644445</v>
      </c>
      <c r="E32" s="663">
        <v>2050</v>
      </c>
      <c r="F32" s="670">
        <f>AB59</f>
        <v>832.31190067634111</v>
      </c>
    </row>
    <row r="33" spans="1:48" s="1" customFormat="1" outlineLevel="1" x14ac:dyDescent="0.25">
      <c r="B33" s="671" t="s">
        <v>902</v>
      </c>
      <c r="C33" s="428">
        <f>SUM(D57:AB58)/1000</f>
        <v>207.11514200934704</v>
      </c>
      <c r="D33" s="235"/>
      <c r="E33" s="7"/>
    </row>
    <row r="34" spans="1:48" s="1" customFormat="1" outlineLevel="1" x14ac:dyDescent="0.25">
      <c r="B34" s="672" t="s">
        <v>403</v>
      </c>
      <c r="C34" s="670">
        <f>SUM(D51:AV51)*1000/SUM(D59:AV59)</f>
        <v>-845.23739861533659</v>
      </c>
      <c r="E34" s="7"/>
    </row>
    <row r="35" spans="1:48" s="1" customFormat="1" outlineLevel="1" x14ac:dyDescent="0.25">
      <c r="B35" s="13"/>
      <c r="C35" s="236"/>
    </row>
    <row r="36" spans="1:48" s="1" customFormat="1" outlineLevel="1" x14ac:dyDescent="0.25">
      <c r="A36" s="2"/>
      <c r="B36" s="284" t="s">
        <v>903</v>
      </c>
      <c r="D36" s="43"/>
      <c r="E36" s="7"/>
      <c r="I36" s="277" t="s">
        <v>876</v>
      </c>
    </row>
    <row r="37" spans="1:48" s="1" customFormat="1" ht="16.5" customHeight="1" outlineLevel="1" x14ac:dyDescent="0.25">
      <c r="A37" s="2">
        <v>1</v>
      </c>
      <c r="B37" s="155" t="s">
        <v>904</v>
      </c>
      <c r="C37" s="307" t="s">
        <v>910</v>
      </c>
      <c r="D37" s="261"/>
      <c r="E37" s="12"/>
      <c r="F37" s="12"/>
      <c r="G37" s="12"/>
      <c r="H37" s="12"/>
      <c r="I37" s="311" t="s">
        <v>474</v>
      </c>
      <c r="J37" s="295" t="s">
        <v>906</v>
      </c>
    </row>
    <row r="38" spans="1:48" s="1" customFormat="1" ht="16.5" customHeight="1" outlineLevel="1" x14ac:dyDescent="0.25">
      <c r="A38" s="2"/>
      <c r="B38" s="155" t="s">
        <v>907</v>
      </c>
      <c r="C38" s="307" t="s">
        <v>905</v>
      </c>
      <c r="D38" s="397">
        <f>IF(C38="Kõrge",3,IF(C38="Mõõdukas",2,1))</f>
        <v>2</v>
      </c>
      <c r="E38" s="12"/>
      <c r="F38" s="12"/>
      <c r="G38" s="12"/>
      <c r="H38" s="12"/>
      <c r="I38" s="312" t="s">
        <v>905</v>
      </c>
      <c r="J38" s="295" t="s">
        <v>908</v>
      </c>
    </row>
    <row r="39" spans="1:48" s="1" customFormat="1" outlineLevel="1" x14ac:dyDescent="0.25">
      <c r="A39" s="2">
        <v>189</v>
      </c>
      <c r="B39" s="155" t="s">
        <v>909</v>
      </c>
      <c r="C39" s="307" t="s">
        <v>905</v>
      </c>
      <c r="D39" s="397">
        <f>IF(C39="Kõrge",3,IF(C39="Mõõdukas",2,1))</f>
        <v>2</v>
      </c>
      <c r="E39" s="12"/>
      <c r="F39" s="12"/>
      <c r="I39" s="313" t="s">
        <v>910</v>
      </c>
      <c r="J39" s="295" t="s">
        <v>911</v>
      </c>
    </row>
    <row r="40" spans="1:48" s="1" customFormat="1" x14ac:dyDescent="0.25">
      <c r="B40" s="4"/>
      <c r="C40" s="399" t="s">
        <v>912</v>
      </c>
      <c r="D40" s="398">
        <f>D39+D38</f>
        <v>4</v>
      </c>
      <c r="E40" s="12"/>
      <c r="F40" s="12"/>
      <c r="G40" s="12"/>
      <c r="H40" s="12"/>
    </row>
    <row r="41" spans="1:48" x14ac:dyDescent="0.25">
      <c r="A41" s="1"/>
      <c r="B41" s="659" t="s">
        <v>913</v>
      </c>
      <c r="C41" s="659"/>
      <c r="D41" s="659"/>
      <c r="E41" s="659"/>
      <c r="F41" s="659"/>
      <c r="G41" s="659"/>
      <c r="H41" s="659"/>
      <c r="I41" s="659"/>
      <c r="J41" s="659"/>
      <c r="K41" s="659"/>
      <c r="L41" s="659"/>
      <c r="M41" s="659"/>
      <c r="N41" s="659"/>
      <c r="O41" s="659"/>
      <c r="P41" s="659"/>
      <c r="Q41" s="659"/>
      <c r="R41" s="659"/>
      <c r="S41" s="659"/>
      <c r="T41" s="659"/>
      <c r="U41" s="659"/>
      <c r="V41" s="659"/>
      <c r="W41" s="659"/>
      <c r="X41" s="659"/>
      <c r="Y41" s="659"/>
      <c r="Z41" s="659"/>
      <c r="AA41" s="659"/>
      <c r="AB41" s="659"/>
      <c r="AC41" s="659"/>
      <c r="AD41" s="659"/>
      <c r="AE41" s="659"/>
      <c r="AF41" s="659"/>
      <c r="AG41" s="659"/>
      <c r="AH41" s="659"/>
      <c r="AI41" s="659"/>
      <c r="AJ41" s="659"/>
      <c r="AK41" s="659"/>
      <c r="AL41" s="659"/>
      <c r="AM41" s="659"/>
      <c r="AN41" s="659"/>
      <c r="AO41" s="659"/>
      <c r="AP41" s="659"/>
      <c r="AQ41" s="659"/>
      <c r="AR41" s="659"/>
      <c r="AS41" s="511"/>
      <c r="AT41" s="511"/>
      <c r="AU41" s="511"/>
      <c r="AV41" s="511"/>
    </row>
    <row r="42" spans="1:48" s="15" customFormat="1" ht="7.5" customHeight="1" outlineLevel="1" x14ac:dyDescent="0.25">
      <c r="B42" s="833"/>
      <c r="C42" s="833"/>
      <c r="D42" s="833"/>
      <c r="E42" s="833"/>
      <c r="F42" s="833"/>
      <c r="G42" s="833"/>
      <c r="H42" s="833"/>
      <c r="I42" s="833"/>
      <c r="J42" s="833"/>
      <c r="K42" s="833"/>
      <c r="L42" s="833"/>
      <c r="M42" s="833"/>
      <c r="N42" s="833"/>
      <c r="O42" s="833"/>
      <c r="P42" s="833"/>
      <c r="Q42" s="833"/>
      <c r="R42" s="833"/>
      <c r="S42" s="833"/>
      <c r="T42" s="833"/>
      <c r="U42" s="833"/>
      <c r="V42" s="833"/>
      <c r="W42" s="833"/>
      <c r="X42" s="833"/>
      <c r="Y42" s="833"/>
      <c r="Z42" s="833"/>
      <c r="AA42" s="833"/>
      <c r="AB42" s="833"/>
      <c r="AC42" s="833"/>
      <c r="AD42" s="833"/>
      <c r="AE42" s="833"/>
      <c r="AF42" s="833"/>
      <c r="AG42" s="833"/>
      <c r="AH42" s="833"/>
      <c r="AI42" s="833"/>
      <c r="AJ42" s="833"/>
      <c r="AK42" s="833"/>
      <c r="AL42" s="833"/>
      <c r="AM42" s="833"/>
      <c r="AN42" s="833"/>
      <c r="AO42" s="833"/>
      <c r="AP42" s="833"/>
      <c r="AQ42" s="833"/>
      <c r="AR42" s="833"/>
      <c r="AS42" s="833"/>
      <c r="AT42" s="833"/>
      <c r="AU42" s="833"/>
      <c r="AV42" s="833"/>
    </row>
    <row r="43" spans="1:48" s="15" customFormat="1" ht="13.5" outlineLevel="1" x14ac:dyDescent="0.25">
      <c r="B43" s="715" t="s">
        <v>914</v>
      </c>
      <c r="C43" s="719"/>
      <c r="D43" s="432">
        <v>2026</v>
      </c>
      <c r="E43" s="432">
        <f>D43+1</f>
        <v>2027</v>
      </c>
      <c r="F43" s="432">
        <f t="shared" ref="F43:AV43" si="0">E43+1</f>
        <v>2028</v>
      </c>
      <c r="G43" s="432">
        <f t="shared" si="0"/>
        <v>2029</v>
      </c>
      <c r="H43" s="432">
        <f t="shared" si="0"/>
        <v>2030</v>
      </c>
      <c r="I43" s="432">
        <f t="shared" si="0"/>
        <v>2031</v>
      </c>
      <c r="J43" s="432">
        <f t="shared" si="0"/>
        <v>2032</v>
      </c>
      <c r="K43" s="432">
        <f t="shared" si="0"/>
        <v>2033</v>
      </c>
      <c r="L43" s="432">
        <f t="shared" si="0"/>
        <v>2034</v>
      </c>
      <c r="M43" s="432">
        <f t="shared" si="0"/>
        <v>2035</v>
      </c>
      <c r="N43" s="432">
        <f>M43+1</f>
        <v>2036</v>
      </c>
      <c r="O43" s="432">
        <f t="shared" si="0"/>
        <v>2037</v>
      </c>
      <c r="P43" s="432">
        <f t="shared" si="0"/>
        <v>2038</v>
      </c>
      <c r="Q43" s="432">
        <f t="shared" si="0"/>
        <v>2039</v>
      </c>
      <c r="R43" s="432">
        <f t="shared" si="0"/>
        <v>2040</v>
      </c>
      <c r="S43" s="432">
        <f>R43+1</f>
        <v>2041</v>
      </c>
      <c r="T43" s="432">
        <f>S43+1</f>
        <v>2042</v>
      </c>
      <c r="U43" s="432">
        <f>T43+1</f>
        <v>2043</v>
      </c>
      <c r="V43" s="432">
        <f t="shared" si="0"/>
        <v>2044</v>
      </c>
      <c r="W43" s="432">
        <f t="shared" si="0"/>
        <v>2045</v>
      </c>
      <c r="X43" s="432">
        <f t="shared" si="0"/>
        <v>2046</v>
      </c>
      <c r="Y43" s="432">
        <f t="shared" si="0"/>
        <v>2047</v>
      </c>
      <c r="Z43" s="432">
        <f t="shared" si="0"/>
        <v>2048</v>
      </c>
      <c r="AA43" s="432">
        <f t="shared" si="0"/>
        <v>2049</v>
      </c>
      <c r="AB43" s="432">
        <f t="shared" si="0"/>
        <v>2050</v>
      </c>
      <c r="AC43" s="432">
        <f t="shared" si="0"/>
        <v>2051</v>
      </c>
      <c r="AD43" s="432">
        <f t="shared" si="0"/>
        <v>2052</v>
      </c>
      <c r="AE43" s="432">
        <f t="shared" si="0"/>
        <v>2053</v>
      </c>
      <c r="AF43" s="432">
        <f t="shared" si="0"/>
        <v>2054</v>
      </c>
      <c r="AG43" s="432">
        <f t="shared" si="0"/>
        <v>2055</v>
      </c>
      <c r="AH43" s="432">
        <f t="shared" si="0"/>
        <v>2056</v>
      </c>
      <c r="AI43" s="432">
        <f t="shared" si="0"/>
        <v>2057</v>
      </c>
      <c r="AJ43" s="432">
        <f t="shared" si="0"/>
        <v>2058</v>
      </c>
      <c r="AK43" s="432">
        <f t="shared" si="0"/>
        <v>2059</v>
      </c>
      <c r="AL43" s="432">
        <f t="shared" si="0"/>
        <v>2060</v>
      </c>
      <c r="AM43" s="432">
        <f t="shared" si="0"/>
        <v>2061</v>
      </c>
      <c r="AN43" s="432">
        <f t="shared" si="0"/>
        <v>2062</v>
      </c>
      <c r="AO43" s="432">
        <f t="shared" si="0"/>
        <v>2063</v>
      </c>
      <c r="AP43" s="432">
        <f t="shared" si="0"/>
        <v>2064</v>
      </c>
      <c r="AQ43" s="432">
        <f t="shared" si="0"/>
        <v>2065</v>
      </c>
      <c r="AR43" s="432">
        <f t="shared" si="0"/>
        <v>2066</v>
      </c>
      <c r="AS43" s="432">
        <f t="shared" si="0"/>
        <v>2067</v>
      </c>
      <c r="AT43" s="432">
        <f t="shared" si="0"/>
        <v>2068</v>
      </c>
      <c r="AU43" s="432">
        <f t="shared" si="0"/>
        <v>2069</v>
      </c>
      <c r="AV43" s="716">
        <f t="shared" si="0"/>
        <v>2070</v>
      </c>
    </row>
    <row r="44" spans="1:48" s="15" customFormat="1" ht="13.5" outlineLevel="1" x14ac:dyDescent="0.25">
      <c r="B44" s="689" t="s">
        <v>1277</v>
      </c>
      <c r="C44" s="815"/>
      <c r="D44" s="686"/>
      <c r="E44" s="686"/>
      <c r="F44" s="686"/>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6"/>
      <c r="AH44" s="686"/>
      <c r="AI44" s="686"/>
      <c r="AJ44" s="686"/>
      <c r="AK44" s="686"/>
      <c r="AL44" s="686"/>
      <c r="AM44" s="686"/>
      <c r="AN44" s="686"/>
      <c r="AO44" s="686"/>
      <c r="AP44" s="686"/>
      <c r="AQ44" s="686"/>
      <c r="AR44" s="686"/>
      <c r="AS44" s="686"/>
      <c r="AT44" s="686"/>
      <c r="AU44" s="686"/>
      <c r="AV44" s="687"/>
    </row>
    <row r="45" spans="1:48" s="15" customFormat="1" ht="13.5" outlineLevel="1" x14ac:dyDescent="0.25">
      <c r="B45" s="817" t="s">
        <v>1343</v>
      </c>
      <c r="C45" s="818" t="s">
        <v>1279</v>
      </c>
      <c r="D45" s="675">
        <f t="shared" ref="D45:AV45" si="1">IF(OR(D43&lt;$C$7,D43&gt;$C$9),0,1)</f>
        <v>0</v>
      </c>
      <c r="E45" s="675">
        <f t="shared" si="1"/>
        <v>1</v>
      </c>
      <c r="F45" s="675">
        <f t="shared" si="1"/>
        <v>1</v>
      </c>
      <c r="G45" s="675">
        <f t="shared" si="1"/>
        <v>1</v>
      </c>
      <c r="H45" s="675">
        <f t="shared" si="1"/>
        <v>1</v>
      </c>
      <c r="I45" s="675">
        <f t="shared" si="1"/>
        <v>1</v>
      </c>
      <c r="J45" s="675">
        <f t="shared" si="1"/>
        <v>0</v>
      </c>
      <c r="K45" s="675">
        <f t="shared" si="1"/>
        <v>0</v>
      </c>
      <c r="L45" s="675">
        <f t="shared" si="1"/>
        <v>0</v>
      </c>
      <c r="M45" s="675">
        <f t="shared" si="1"/>
        <v>0</v>
      </c>
      <c r="N45" s="675">
        <f t="shared" si="1"/>
        <v>0</v>
      </c>
      <c r="O45" s="675">
        <f t="shared" si="1"/>
        <v>0</v>
      </c>
      <c r="P45" s="675">
        <f t="shared" si="1"/>
        <v>0</v>
      </c>
      <c r="Q45" s="675">
        <f t="shared" si="1"/>
        <v>0</v>
      </c>
      <c r="R45" s="675">
        <f t="shared" si="1"/>
        <v>0</v>
      </c>
      <c r="S45" s="675">
        <f t="shared" si="1"/>
        <v>0</v>
      </c>
      <c r="T45" s="675">
        <f t="shared" si="1"/>
        <v>0</v>
      </c>
      <c r="U45" s="675">
        <f t="shared" si="1"/>
        <v>0</v>
      </c>
      <c r="V45" s="675">
        <f t="shared" si="1"/>
        <v>0</v>
      </c>
      <c r="W45" s="675">
        <f t="shared" si="1"/>
        <v>0</v>
      </c>
      <c r="X45" s="675">
        <f t="shared" si="1"/>
        <v>0</v>
      </c>
      <c r="Y45" s="675">
        <f t="shared" si="1"/>
        <v>0</v>
      </c>
      <c r="Z45" s="675">
        <f t="shared" si="1"/>
        <v>0</v>
      </c>
      <c r="AA45" s="675">
        <f t="shared" si="1"/>
        <v>0</v>
      </c>
      <c r="AB45" s="675">
        <f t="shared" si="1"/>
        <v>0</v>
      </c>
      <c r="AC45" s="675">
        <f t="shared" si="1"/>
        <v>0</v>
      </c>
      <c r="AD45" s="675">
        <f t="shared" si="1"/>
        <v>0</v>
      </c>
      <c r="AE45" s="675">
        <f t="shared" si="1"/>
        <v>0</v>
      </c>
      <c r="AF45" s="675">
        <f t="shared" si="1"/>
        <v>0</v>
      </c>
      <c r="AG45" s="675">
        <f t="shared" si="1"/>
        <v>0</v>
      </c>
      <c r="AH45" s="675">
        <f t="shared" si="1"/>
        <v>0</v>
      </c>
      <c r="AI45" s="675">
        <f t="shared" si="1"/>
        <v>0</v>
      </c>
      <c r="AJ45" s="675">
        <f t="shared" si="1"/>
        <v>0</v>
      </c>
      <c r="AK45" s="675">
        <f t="shared" si="1"/>
        <v>0</v>
      </c>
      <c r="AL45" s="675">
        <f t="shared" si="1"/>
        <v>0</v>
      </c>
      <c r="AM45" s="675">
        <f t="shared" si="1"/>
        <v>0</v>
      </c>
      <c r="AN45" s="675">
        <f t="shared" si="1"/>
        <v>0</v>
      </c>
      <c r="AO45" s="675">
        <f t="shared" si="1"/>
        <v>0</v>
      </c>
      <c r="AP45" s="675">
        <f t="shared" si="1"/>
        <v>0</v>
      </c>
      <c r="AQ45" s="675">
        <f t="shared" si="1"/>
        <v>0</v>
      </c>
      <c r="AR45" s="675">
        <f t="shared" si="1"/>
        <v>0</v>
      </c>
      <c r="AS45" s="675">
        <f t="shared" si="1"/>
        <v>0</v>
      </c>
      <c r="AT45" s="675">
        <f t="shared" si="1"/>
        <v>0</v>
      </c>
      <c r="AU45" s="675">
        <f t="shared" si="1"/>
        <v>0</v>
      </c>
      <c r="AV45" s="676">
        <f t="shared" si="1"/>
        <v>0</v>
      </c>
    </row>
    <row r="46" spans="1:48" s="15" customFormat="1" ht="13.5" outlineLevel="1" x14ac:dyDescent="0.25">
      <c r="B46" s="817" t="s">
        <v>1344</v>
      </c>
      <c r="C46" s="818" t="s">
        <v>1279</v>
      </c>
      <c r="D46" s="675">
        <f>IF(OR(D43&lt;$C$7+1,D43&gt;$C$7+$C$11),0,1)</f>
        <v>0</v>
      </c>
      <c r="E46" s="675">
        <f t="shared" ref="E46:AV46" si="2">IF(OR(E43&lt;$C$7+1,E43&gt;$C$7+$C$11),0,1)</f>
        <v>0</v>
      </c>
      <c r="F46" s="675">
        <f t="shared" si="2"/>
        <v>1</v>
      </c>
      <c r="G46" s="675">
        <f t="shared" si="2"/>
        <v>1</v>
      </c>
      <c r="H46" s="675">
        <f t="shared" si="2"/>
        <v>1</v>
      </c>
      <c r="I46" s="675">
        <f t="shared" si="2"/>
        <v>1</v>
      </c>
      <c r="J46" s="675">
        <f t="shared" si="2"/>
        <v>1</v>
      </c>
      <c r="K46" s="675">
        <f t="shared" si="2"/>
        <v>1</v>
      </c>
      <c r="L46" s="675">
        <f t="shared" si="2"/>
        <v>1</v>
      </c>
      <c r="M46" s="675">
        <f t="shared" si="2"/>
        <v>1</v>
      </c>
      <c r="N46" s="675">
        <f t="shared" si="2"/>
        <v>1</v>
      </c>
      <c r="O46" s="675">
        <f t="shared" si="2"/>
        <v>1</v>
      </c>
      <c r="P46" s="675">
        <f t="shared" si="2"/>
        <v>0</v>
      </c>
      <c r="Q46" s="675">
        <f t="shared" si="2"/>
        <v>0</v>
      </c>
      <c r="R46" s="675">
        <f t="shared" si="2"/>
        <v>0</v>
      </c>
      <c r="S46" s="675">
        <f t="shared" si="2"/>
        <v>0</v>
      </c>
      <c r="T46" s="675">
        <f t="shared" si="2"/>
        <v>0</v>
      </c>
      <c r="U46" s="675">
        <f t="shared" si="2"/>
        <v>0</v>
      </c>
      <c r="V46" s="675">
        <f t="shared" si="2"/>
        <v>0</v>
      </c>
      <c r="W46" s="675">
        <f t="shared" si="2"/>
        <v>0</v>
      </c>
      <c r="X46" s="675">
        <f t="shared" si="2"/>
        <v>0</v>
      </c>
      <c r="Y46" s="675">
        <f t="shared" si="2"/>
        <v>0</v>
      </c>
      <c r="Z46" s="675">
        <f t="shared" si="2"/>
        <v>0</v>
      </c>
      <c r="AA46" s="675">
        <f t="shared" si="2"/>
        <v>0</v>
      </c>
      <c r="AB46" s="675">
        <f t="shared" si="2"/>
        <v>0</v>
      </c>
      <c r="AC46" s="675">
        <f t="shared" si="2"/>
        <v>0</v>
      </c>
      <c r="AD46" s="675">
        <f t="shared" si="2"/>
        <v>0</v>
      </c>
      <c r="AE46" s="675">
        <f t="shared" si="2"/>
        <v>0</v>
      </c>
      <c r="AF46" s="675">
        <f t="shared" si="2"/>
        <v>0</v>
      </c>
      <c r="AG46" s="675">
        <f t="shared" si="2"/>
        <v>0</v>
      </c>
      <c r="AH46" s="675">
        <f t="shared" si="2"/>
        <v>0</v>
      </c>
      <c r="AI46" s="675">
        <f t="shared" si="2"/>
        <v>0</v>
      </c>
      <c r="AJ46" s="675">
        <f t="shared" si="2"/>
        <v>0</v>
      </c>
      <c r="AK46" s="675">
        <f t="shared" si="2"/>
        <v>0</v>
      </c>
      <c r="AL46" s="675">
        <f t="shared" si="2"/>
        <v>0</v>
      </c>
      <c r="AM46" s="675">
        <f t="shared" si="2"/>
        <v>0</v>
      </c>
      <c r="AN46" s="675">
        <f t="shared" si="2"/>
        <v>0</v>
      </c>
      <c r="AO46" s="675">
        <f t="shared" si="2"/>
        <v>0</v>
      </c>
      <c r="AP46" s="675">
        <f t="shared" si="2"/>
        <v>0</v>
      </c>
      <c r="AQ46" s="675">
        <f t="shared" si="2"/>
        <v>0</v>
      </c>
      <c r="AR46" s="675">
        <f t="shared" si="2"/>
        <v>0</v>
      </c>
      <c r="AS46" s="675">
        <f t="shared" si="2"/>
        <v>0</v>
      </c>
      <c r="AT46" s="675">
        <f t="shared" si="2"/>
        <v>0</v>
      </c>
      <c r="AU46" s="675">
        <f t="shared" si="2"/>
        <v>0</v>
      </c>
      <c r="AV46" s="676">
        <f t="shared" si="2"/>
        <v>0</v>
      </c>
    </row>
    <row r="47" spans="1:48" s="15" customFormat="1" ht="13.5" outlineLevel="1" x14ac:dyDescent="0.25">
      <c r="B47" s="817"/>
      <c r="C47" s="818"/>
      <c r="D47" s="675"/>
      <c r="E47" s="675"/>
      <c r="F47" s="675"/>
      <c r="G47" s="675"/>
      <c r="H47" s="675"/>
      <c r="I47" s="675"/>
      <c r="J47" s="675"/>
      <c r="K47" s="675"/>
      <c r="L47" s="675"/>
      <c r="M47" s="675"/>
      <c r="N47" s="675"/>
      <c r="O47" s="675"/>
      <c r="P47" s="675"/>
      <c r="Q47" s="675"/>
      <c r="R47" s="675"/>
      <c r="S47" s="675"/>
      <c r="T47" s="675"/>
      <c r="U47" s="675"/>
      <c r="V47" s="675"/>
      <c r="W47" s="675"/>
      <c r="X47" s="675"/>
      <c r="Y47" s="675"/>
      <c r="Z47" s="675"/>
      <c r="AA47" s="675"/>
      <c r="AB47" s="675"/>
      <c r="AC47" s="675"/>
      <c r="AD47" s="675"/>
      <c r="AE47" s="675"/>
      <c r="AF47" s="675"/>
      <c r="AG47" s="675"/>
      <c r="AH47" s="675"/>
      <c r="AI47" s="675"/>
      <c r="AJ47" s="675"/>
      <c r="AK47" s="675"/>
      <c r="AL47" s="675"/>
      <c r="AM47" s="675"/>
      <c r="AN47" s="675"/>
      <c r="AO47" s="675"/>
      <c r="AP47" s="675"/>
      <c r="AQ47" s="675"/>
      <c r="AR47" s="675"/>
      <c r="AS47" s="675"/>
      <c r="AT47" s="675"/>
      <c r="AU47" s="675"/>
      <c r="AV47" s="676"/>
    </row>
    <row r="48" spans="1:48" s="15" customFormat="1" ht="13.5" outlineLevel="1" x14ac:dyDescent="0.25">
      <c r="B48" s="671" t="s">
        <v>1345</v>
      </c>
      <c r="C48" s="679" t="s">
        <v>1243</v>
      </c>
      <c r="D48" s="682">
        <f>$C$17/$C$8*$C$18*D45*1000</f>
        <v>0</v>
      </c>
      <c r="E48" s="682">
        <f t="shared" ref="E48:AV48" si="3">$C$17/$C$8*$C$18*E45*1000</f>
        <v>12000</v>
      </c>
      <c r="F48" s="682">
        <f t="shared" si="3"/>
        <v>12000</v>
      </c>
      <c r="G48" s="682">
        <f t="shared" si="3"/>
        <v>12000</v>
      </c>
      <c r="H48" s="682">
        <f t="shared" si="3"/>
        <v>12000</v>
      </c>
      <c r="I48" s="682">
        <f t="shared" si="3"/>
        <v>12000</v>
      </c>
      <c r="J48" s="682">
        <f t="shared" si="3"/>
        <v>0</v>
      </c>
      <c r="K48" s="682">
        <f t="shared" si="3"/>
        <v>0</v>
      </c>
      <c r="L48" s="682">
        <f t="shared" si="3"/>
        <v>0</v>
      </c>
      <c r="M48" s="682">
        <f t="shared" si="3"/>
        <v>0</v>
      </c>
      <c r="N48" s="682">
        <f t="shared" si="3"/>
        <v>0</v>
      </c>
      <c r="O48" s="682">
        <f t="shared" si="3"/>
        <v>0</v>
      </c>
      <c r="P48" s="682">
        <f t="shared" si="3"/>
        <v>0</v>
      </c>
      <c r="Q48" s="682">
        <f t="shared" si="3"/>
        <v>0</v>
      </c>
      <c r="R48" s="682">
        <f t="shared" si="3"/>
        <v>0</v>
      </c>
      <c r="S48" s="682">
        <f t="shared" si="3"/>
        <v>0</v>
      </c>
      <c r="T48" s="682">
        <f t="shared" si="3"/>
        <v>0</v>
      </c>
      <c r="U48" s="682">
        <f t="shared" si="3"/>
        <v>0</v>
      </c>
      <c r="V48" s="682">
        <f t="shared" si="3"/>
        <v>0</v>
      </c>
      <c r="W48" s="682">
        <f t="shared" si="3"/>
        <v>0</v>
      </c>
      <c r="X48" s="682">
        <f t="shared" si="3"/>
        <v>0</v>
      </c>
      <c r="Y48" s="682">
        <f t="shared" si="3"/>
        <v>0</v>
      </c>
      <c r="Z48" s="682">
        <f t="shared" si="3"/>
        <v>0</v>
      </c>
      <c r="AA48" s="682">
        <f t="shared" si="3"/>
        <v>0</v>
      </c>
      <c r="AB48" s="682">
        <f t="shared" si="3"/>
        <v>0</v>
      </c>
      <c r="AC48" s="682">
        <f t="shared" si="3"/>
        <v>0</v>
      </c>
      <c r="AD48" s="682">
        <f t="shared" si="3"/>
        <v>0</v>
      </c>
      <c r="AE48" s="682">
        <f t="shared" si="3"/>
        <v>0</v>
      </c>
      <c r="AF48" s="682">
        <f t="shared" si="3"/>
        <v>0</v>
      </c>
      <c r="AG48" s="682">
        <f t="shared" si="3"/>
        <v>0</v>
      </c>
      <c r="AH48" s="682">
        <f t="shared" si="3"/>
        <v>0</v>
      </c>
      <c r="AI48" s="682">
        <f t="shared" si="3"/>
        <v>0</v>
      </c>
      <c r="AJ48" s="682">
        <f t="shared" si="3"/>
        <v>0</v>
      </c>
      <c r="AK48" s="682">
        <f t="shared" si="3"/>
        <v>0</v>
      </c>
      <c r="AL48" s="682">
        <f t="shared" si="3"/>
        <v>0</v>
      </c>
      <c r="AM48" s="682">
        <f t="shared" si="3"/>
        <v>0</v>
      </c>
      <c r="AN48" s="682">
        <f t="shared" si="3"/>
        <v>0</v>
      </c>
      <c r="AO48" s="682">
        <f t="shared" si="3"/>
        <v>0</v>
      </c>
      <c r="AP48" s="682">
        <f t="shared" si="3"/>
        <v>0</v>
      </c>
      <c r="AQ48" s="682">
        <f t="shared" si="3"/>
        <v>0</v>
      </c>
      <c r="AR48" s="682">
        <f t="shared" si="3"/>
        <v>0</v>
      </c>
      <c r="AS48" s="682">
        <f t="shared" si="3"/>
        <v>0</v>
      </c>
      <c r="AT48" s="682">
        <f t="shared" si="3"/>
        <v>0</v>
      </c>
      <c r="AU48" s="682">
        <f t="shared" si="3"/>
        <v>0</v>
      </c>
      <c r="AV48" s="428">
        <f t="shared" si="3"/>
        <v>0</v>
      </c>
    </row>
    <row r="49" spans="2:48" s="15" customFormat="1" ht="13.5" outlineLevel="1" x14ac:dyDescent="0.25">
      <c r="B49" s="671" t="s">
        <v>1346</v>
      </c>
      <c r="C49" s="679" t="s">
        <v>1243</v>
      </c>
      <c r="D49" s="682">
        <f t="shared" ref="D49:AV49" si="4">$C$16*D45</f>
        <v>0</v>
      </c>
      <c r="E49" s="682">
        <f t="shared" si="4"/>
        <v>50</v>
      </c>
      <c r="F49" s="682">
        <f t="shared" si="4"/>
        <v>50</v>
      </c>
      <c r="G49" s="682">
        <f t="shared" si="4"/>
        <v>50</v>
      </c>
      <c r="H49" s="682">
        <f t="shared" si="4"/>
        <v>50</v>
      </c>
      <c r="I49" s="682">
        <f t="shared" si="4"/>
        <v>50</v>
      </c>
      <c r="J49" s="682">
        <f t="shared" si="4"/>
        <v>0</v>
      </c>
      <c r="K49" s="682">
        <f t="shared" si="4"/>
        <v>0</v>
      </c>
      <c r="L49" s="682">
        <f t="shared" si="4"/>
        <v>0</v>
      </c>
      <c r="M49" s="682">
        <f t="shared" si="4"/>
        <v>0</v>
      </c>
      <c r="N49" s="682">
        <f t="shared" si="4"/>
        <v>0</v>
      </c>
      <c r="O49" s="682">
        <f t="shared" si="4"/>
        <v>0</v>
      </c>
      <c r="P49" s="682">
        <f t="shared" si="4"/>
        <v>0</v>
      </c>
      <c r="Q49" s="682">
        <f t="shared" si="4"/>
        <v>0</v>
      </c>
      <c r="R49" s="682">
        <f t="shared" si="4"/>
        <v>0</v>
      </c>
      <c r="S49" s="682">
        <f t="shared" si="4"/>
        <v>0</v>
      </c>
      <c r="T49" s="682">
        <f t="shared" si="4"/>
        <v>0</v>
      </c>
      <c r="U49" s="682">
        <f t="shared" si="4"/>
        <v>0</v>
      </c>
      <c r="V49" s="682">
        <f t="shared" si="4"/>
        <v>0</v>
      </c>
      <c r="W49" s="682">
        <f t="shared" si="4"/>
        <v>0</v>
      </c>
      <c r="X49" s="682">
        <f t="shared" si="4"/>
        <v>0</v>
      </c>
      <c r="Y49" s="682">
        <f t="shared" si="4"/>
        <v>0</v>
      </c>
      <c r="Z49" s="682">
        <f t="shared" si="4"/>
        <v>0</v>
      </c>
      <c r="AA49" s="682">
        <f t="shared" si="4"/>
        <v>0</v>
      </c>
      <c r="AB49" s="682">
        <f t="shared" si="4"/>
        <v>0</v>
      </c>
      <c r="AC49" s="682">
        <f t="shared" si="4"/>
        <v>0</v>
      </c>
      <c r="AD49" s="682">
        <f t="shared" si="4"/>
        <v>0</v>
      </c>
      <c r="AE49" s="682">
        <f t="shared" si="4"/>
        <v>0</v>
      </c>
      <c r="AF49" s="682">
        <f t="shared" si="4"/>
        <v>0</v>
      </c>
      <c r="AG49" s="682">
        <f t="shared" si="4"/>
        <v>0</v>
      </c>
      <c r="AH49" s="682">
        <f t="shared" si="4"/>
        <v>0</v>
      </c>
      <c r="AI49" s="682">
        <f t="shared" si="4"/>
        <v>0</v>
      </c>
      <c r="AJ49" s="682">
        <f t="shared" si="4"/>
        <v>0</v>
      </c>
      <c r="AK49" s="682">
        <f t="shared" si="4"/>
        <v>0</v>
      </c>
      <c r="AL49" s="682">
        <f t="shared" si="4"/>
        <v>0</v>
      </c>
      <c r="AM49" s="682">
        <f t="shared" si="4"/>
        <v>0</v>
      </c>
      <c r="AN49" s="682">
        <f t="shared" si="4"/>
        <v>0</v>
      </c>
      <c r="AO49" s="682">
        <f t="shared" si="4"/>
        <v>0</v>
      </c>
      <c r="AP49" s="682">
        <f t="shared" si="4"/>
        <v>0</v>
      </c>
      <c r="AQ49" s="682">
        <f t="shared" si="4"/>
        <v>0</v>
      </c>
      <c r="AR49" s="682">
        <f t="shared" si="4"/>
        <v>0</v>
      </c>
      <c r="AS49" s="682">
        <f t="shared" si="4"/>
        <v>0</v>
      </c>
      <c r="AT49" s="682">
        <f t="shared" si="4"/>
        <v>0</v>
      </c>
      <c r="AU49" s="682">
        <f t="shared" si="4"/>
        <v>0</v>
      </c>
      <c r="AV49" s="428">
        <f t="shared" si="4"/>
        <v>0</v>
      </c>
    </row>
    <row r="50" spans="2:48" s="15" customFormat="1" ht="13.5" outlineLevel="1" x14ac:dyDescent="0.25">
      <c r="B50" s="671" t="s">
        <v>1347</v>
      </c>
      <c r="C50" s="679" t="s">
        <v>1243</v>
      </c>
      <c r="D50" s="682">
        <f>-(D56*$C$20+D58*$C$21)*(1+$C$22)</f>
        <v>0</v>
      </c>
      <c r="E50" s="682">
        <f t="shared" ref="E50:AV50" si="5">-(E56*$C$20+E58*$C$21)*(1+$C$22)</f>
        <v>0</v>
      </c>
      <c r="F50" s="682">
        <f t="shared" si="5"/>
        <v>-453.60554278738471</v>
      </c>
      <c r="G50" s="682">
        <f t="shared" si="5"/>
        <v>-865.85154126474117</v>
      </c>
      <c r="H50" s="682">
        <f t="shared" si="5"/>
        <v>-1238.4088724387498</v>
      </c>
      <c r="I50" s="682">
        <f t="shared" si="5"/>
        <v>-1572.9137187567521</v>
      </c>
      <c r="J50" s="682">
        <f t="shared" si="5"/>
        <v>-1870.968089798072</v>
      </c>
      <c r="K50" s="682">
        <f t="shared" si="5"/>
        <v>-2134.1403388283229</v>
      </c>
      <c r="L50" s="682">
        <f t="shared" si="5"/>
        <v>-2363.9656742038742</v>
      </c>
      <c r="M50" s="682">
        <f t="shared" si="5"/>
        <v>-2561.9466656160712</v>
      </c>
      <c r="N50" s="682">
        <f t="shared" si="5"/>
        <v>-2816.6967010224216</v>
      </c>
      <c r="O50" s="682">
        <f t="shared" si="5"/>
        <v>-3059.2842680969416</v>
      </c>
      <c r="P50" s="682">
        <f t="shared" si="5"/>
        <v>-2991.2462661592599</v>
      </c>
      <c r="Q50" s="682">
        <f t="shared" si="5"/>
        <v>-2925.4991042253996</v>
      </c>
      <c r="R50" s="682">
        <f t="shared" si="5"/>
        <v>-2861.993848721153</v>
      </c>
      <c r="S50" s="682">
        <f t="shared" si="5"/>
        <v>-2800.682505805958</v>
      </c>
      <c r="T50" s="682">
        <f t="shared" si="5"/>
        <v>-2741.5180039100092</v>
      </c>
      <c r="U50" s="682">
        <f t="shared" si="5"/>
        <v>-2684.4541765922186</v>
      </c>
      <c r="V50" s="682">
        <f t="shared" si="5"/>
        <v>-2629.4457457131457</v>
      </c>
      <c r="W50" s="682">
        <f t="shared" si="5"/>
        <v>-2576.4483049171304</v>
      </c>
      <c r="X50" s="682">
        <f t="shared" si="5"/>
        <v>-2525.4183034179841</v>
      </c>
      <c r="Y50" s="682">
        <f t="shared" si="5"/>
        <v>-2476.3130300826551</v>
      </c>
      <c r="Z50" s="682">
        <f t="shared" si="5"/>
        <v>-2429.090597807437</v>
      </c>
      <c r="AA50" s="682">
        <f t="shared" si="5"/>
        <v>-2383.7099281813535</v>
      </c>
      <c r="AB50" s="682">
        <f t="shared" si="5"/>
        <v>-2340.1307364314553</v>
      </c>
      <c r="AC50" s="682">
        <f t="shared" si="5"/>
        <v>-2319.5301266301763</v>
      </c>
      <c r="AD50" s="682">
        <f t="shared" si="5"/>
        <v>-2298.9326322091765</v>
      </c>
      <c r="AE50" s="682">
        <f t="shared" si="5"/>
        <v>-2278.3379137586644</v>
      </c>
      <c r="AF50" s="682">
        <f t="shared" si="5"/>
        <v>-2257.7456350024922</v>
      </c>
      <c r="AG50" s="682">
        <f t="shared" si="5"/>
        <v>-2237.1554627763958</v>
      </c>
      <c r="AH50" s="682">
        <f t="shared" si="5"/>
        <v>-2216.567067006361</v>
      </c>
      <c r="AI50" s="682">
        <f t="shared" si="5"/>
        <v>-2195.9801206871325</v>
      </c>
      <c r="AJ50" s="682">
        <f t="shared" si="5"/>
        <v>-2175.3942998608522</v>
      </c>
      <c r="AK50" s="682">
        <f t="shared" si="5"/>
        <v>-2154.8092835958314</v>
      </c>
      <c r="AL50" s="682">
        <f t="shared" si="5"/>
        <v>-2134.2247539654581</v>
      </c>
      <c r="AM50" s="682">
        <f t="shared" si="5"/>
        <v>-2113.6403960272323</v>
      </c>
      <c r="AN50" s="682">
        <f t="shared" si="5"/>
        <v>-2093.0558978019367</v>
      </c>
      <c r="AO50" s="682">
        <f t="shared" si="5"/>
        <v>-2072.4709502529322</v>
      </c>
      <c r="AP50" s="682">
        <f t="shared" si="5"/>
        <v>-2051.8852472655872</v>
      </c>
      <c r="AQ50" s="682">
        <f t="shared" si="5"/>
        <v>-2031.2984856268356</v>
      </c>
      <c r="AR50" s="682">
        <f t="shared" si="5"/>
        <v>-2010.7103650048571</v>
      </c>
      <c r="AS50" s="682">
        <f t="shared" si="5"/>
        <v>-1990.1205879288918</v>
      </c>
      <c r="AT50" s="682">
        <f t="shared" si="5"/>
        <v>-1969.5288597691779</v>
      </c>
      <c r="AU50" s="682">
        <f t="shared" si="5"/>
        <v>-1948.9348887170122</v>
      </c>
      <c r="AV50" s="428">
        <f t="shared" si="5"/>
        <v>-1928.3383857649403</v>
      </c>
    </row>
    <row r="51" spans="2:48" s="39" customFormat="1" ht="13.5" outlineLevel="1" x14ac:dyDescent="0.25">
      <c r="B51" s="689" t="s">
        <v>1114</v>
      </c>
      <c r="C51" s="693" t="s">
        <v>1243</v>
      </c>
      <c r="D51" s="710">
        <f>D48+D49+D50</f>
        <v>0</v>
      </c>
      <c r="E51" s="710">
        <f>E48+E49+E50</f>
        <v>12050</v>
      </c>
      <c r="F51" s="710">
        <f t="shared" ref="F51:AV51" si="6">F48+F49+F50</f>
        <v>11596.394457212615</v>
      </c>
      <c r="G51" s="710">
        <f t="shared" si="6"/>
        <v>11184.148458735259</v>
      </c>
      <c r="H51" s="710">
        <f t="shared" si="6"/>
        <v>10811.591127561251</v>
      </c>
      <c r="I51" s="710">
        <f t="shared" si="6"/>
        <v>10477.086281243248</v>
      </c>
      <c r="J51" s="710">
        <f t="shared" si="6"/>
        <v>-1870.968089798072</v>
      </c>
      <c r="K51" s="710">
        <f t="shared" si="6"/>
        <v>-2134.1403388283229</v>
      </c>
      <c r="L51" s="710">
        <f t="shared" si="6"/>
        <v>-2363.9656742038742</v>
      </c>
      <c r="M51" s="710">
        <f t="shared" si="6"/>
        <v>-2561.9466656160712</v>
      </c>
      <c r="N51" s="710">
        <f t="shared" si="6"/>
        <v>-2816.6967010224216</v>
      </c>
      <c r="O51" s="710">
        <f t="shared" si="6"/>
        <v>-3059.2842680969416</v>
      </c>
      <c r="P51" s="710">
        <f t="shared" si="6"/>
        <v>-2991.2462661592599</v>
      </c>
      <c r="Q51" s="710">
        <f t="shared" si="6"/>
        <v>-2925.4991042253996</v>
      </c>
      <c r="R51" s="710">
        <f t="shared" si="6"/>
        <v>-2861.993848721153</v>
      </c>
      <c r="S51" s="710">
        <f t="shared" si="6"/>
        <v>-2800.682505805958</v>
      </c>
      <c r="T51" s="710">
        <f t="shared" si="6"/>
        <v>-2741.5180039100092</v>
      </c>
      <c r="U51" s="710">
        <f t="shared" si="6"/>
        <v>-2684.4541765922186</v>
      </c>
      <c r="V51" s="710">
        <f t="shared" si="6"/>
        <v>-2629.4457457131457</v>
      </c>
      <c r="W51" s="710">
        <f t="shared" si="6"/>
        <v>-2576.4483049171304</v>
      </c>
      <c r="X51" s="710">
        <f t="shared" si="6"/>
        <v>-2525.4183034179841</v>
      </c>
      <c r="Y51" s="710">
        <f t="shared" si="6"/>
        <v>-2476.3130300826551</v>
      </c>
      <c r="Z51" s="710">
        <f t="shared" si="6"/>
        <v>-2429.090597807437</v>
      </c>
      <c r="AA51" s="710">
        <f t="shared" si="6"/>
        <v>-2383.7099281813535</v>
      </c>
      <c r="AB51" s="710">
        <f t="shared" si="6"/>
        <v>-2340.1307364314553</v>
      </c>
      <c r="AC51" s="710">
        <f t="shared" si="6"/>
        <v>-2319.5301266301763</v>
      </c>
      <c r="AD51" s="710">
        <f t="shared" si="6"/>
        <v>-2298.9326322091765</v>
      </c>
      <c r="AE51" s="710">
        <f t="shared" si="6"/>
        <v>-2278.3379137586644</v>
      </c>
      <c r="AF51" s="710">
        <f t="shared" si="6"/>
        <v>-2257.7456350024922</v>
      </c>
      <c r="AG51" s="710">
        <f t="shared" si="6"/>
        <v>-2237.1554627763958</v>
      </c>
      <c r="AH51" s="710">
        <f t="shared" si="6"/>
        <v>-2216.567067006361</v>
      </c>
      <c r="AI51" s="710">
        <f t="shared" si="6"/>
        <v>-2195.9801206871325</v>
      </c>
      <c r="AJ51" s="710">
        <f t="shared" si="6"/>
        <v>-2175.3942998608522</v>
      </c>
      <c r="AK51" s="710">
        <f t="shared" si="6"/>
        <v>-2154.8092835958314</v>
      </c>
      <c r="AL51" s="710">
        <f t="shared" si="6"/>
        <v>-2134.2247539654581</v>
      </c>
      <c r="AM51" s="710">
        <f t="shared" si="6"/>
        <v>-2113.6403960272323</v>
      </c>
      <c r="AN51" s="710">
        <f t="shared" si="6"/>
        <v>-2093.0558978019367</v>
      </c>
      <c r="AO51" s="710">
        <f t="shared" si="6"/>
        <v>-2072.4709502529322</v>
      </c>
      <c r="AP51" s="710">
        <f t="shared" si="6"/>
        <v>-2051.8852472655872</v>
      </c>
      <c r="AQ51" s="710">
        <f t="shared" si="6"/>
        <v>-2031.2984856268356</v>
      </c>
      <c r="AR51" s="710">
        <f t="shared" si="6"/>
        <v>-2010.7103650048571</v>
      </c>
      <c r="AS51" s="710">
        <f t="shared" si="6"/>
        <v>-1990.1205879288918</v>
      </c>
      <c r="AT51" s="710">
        <f t="shared" si="6"/>
        <v>-1969.5288597691779</v>
      </c>
      <c r="AU51" s="710">
        <f t="shared" si="6"/>
        <v>-1948.9348887170122</v>
      </c>
      <c r="AV51" s="426">
        <f t="shared" si="6"/>
        <v>-1928.3383857649403</v>
      </c>
    </row>
    <row r="52" spans="2:48" s="15" customFormat="1" ht="13.5" outlineLevel="1" x14ac:dyDescent="0.25">
      <c r="B52" s="671" t="s">
        <v>1348</v>
      </c>
      <c r="C52" s="679" t="s">
        <v>639</v>
      </c>
      <c r="D52" s="834">
        <f>$C$10/$C$11*D46</f>
        <v>0</v>
      </c>
      <c r="E52" s="834">
        <f>D52+$C$10/$C$11*E46</f>
        <v>0</v>
      </c>
      <c r="F52" s="834">
        <f t="shared" ref="F52:AV52" si="7">E52+$C$10/$C$11*F46</f>
        <v>0.01</v>
      </c>
      <c r="G52" s="834">
        <f t="shared" si="7"/>
        <v>0.02</v>
      </c>
      <c r="H52" s="834">
        <f t="shared" si="7"/>
        <v>0.03</v>
      </c>
      <c r="I52" s="834">
        <f t="shared" si="7"/>
        <v>0.04</v>
      </c>
      <c r="J52" s="834">
        <f t="shared" si="7"/>
        <v>0.05</v>
      </c>
      <c r="K52" s="834">
        <f t="shared" si="7"/>
        <v>6.0000000000000005E-2</v>
      </c>
      <c r="L52" s="834">
        <f t="shared" si="7"/>
        <v>7.0000000000000007E-2</v>
      </c>
      <c r="M52" s="834">
        <f t="shared" si="7"/>
        <v>0.08</v>
      </c>
      <c r="N52" s="834">
        <f t="shared" si="7"/>
        <v>0.09</v>
      </c>
      <c r="O52" s="834">
        <f t="shared" si="7"/>
        <v>9.9999999999999992E-2</v>
      </c>
      <c r="P52" s="834">
        <f t="shared" si="7"/>
        <v>9.9999999999999992E-2</v>
      </c>
      <c r="Q52" s="834">
        <f t="shared" si="7"/>
        <v>9.9999999999999992E-2</v>
      </c>
      <c r="R52" s="834">
        <f t="shared" si="7"/>
        <v>9.9999999999999992E-2</v>
      </c>
      <c r="S52" s="834">
        <f t="shared" si="7"/>
        <v>9.9999999999999992E-2</v>
      </c>
      <c r="T52" s="834">
        <f t="shared" si="7"/>
        <v>9.9999999999999992E-2</v>
      </c>
      <c r="U52" s="834">
        <f t="shared" si="7"/>
        <v>9.9999999999999992E-2</v>
      </c>
      <c r="V52" s="834">
        <f t="shared" si="7"/>
        <v>9.9999999999999992E-2</v>
      </c>
      <c r="W52" s="834">
        <f t="shared" si="7"/>
        <v>9.9999999999999992E-2</v>
      </c>
      <c r="X52" s="834">
        <f t="shared" si="7"/>
        <v>9.9999999999999992E-2</v>
      </c>
      <c r="Y52" s="834">
        <f t="shared" si="7"/>
        <v>9.9999999999999992E-2</v>
      </c>
      <c r="Z52" s="834">
        <f t="shared" si="7"/>
        <v>9.9999999999999992E-2</v>
      </c>
      <c r="AA52" s="834">
        <f t="shared" si="7"/>
        <v>9.9999999999999992E-2</v>
      </c>
      <c r="AB52" s="834">
        <f t="shared" si="7"/>
        <v>9.9999999999999992E-2</v>
      </c>
      <c r="AC52" s="834">
        <f t="shared" si="7"/>
        <v>9.9999999999999992E-2</v>
      </c>
      <c r="AD52" s="834">
        <f t="shared" si="7"/>
        <v>9.9999999999999992E-2</v>
      </c>
      <c r="AE52" s="834">
        <f t="shared" si="7"/>
        <v>9.9999999999999992E-2</v>
      </c>
      <c r="AF52" s="834">
        <f t="shared" si="7"/>
        <v>9.9999999999999992E-2</v>
      </c>
      <c r="AG52" s="834">
        <f t="shared" si="7"/>
        <v>9.9999999999999992E-2</v>
      </c>
      <c r="AH52" s="834">
        <f t="shared" si="7"/>
        <v>9.9999999999999992E-2</v>
      </c>
      <c r="AI52" s="834">
        <f t="shared" si="7"/>
        <v>9.9999999999999992E-2</v>
      </c>
      <c r="AJ52" s="834">
        <f t="shared" si="7"/>
        <v>9.9999999999999992E-2</v>
      </c>
      <c r="AK52" s="834">
        <f t="shared" si="7"/>
        <v>9.9999999999999992E-2</v>
      </c>
      <c r="AL52" s="834">
        <f t="shared" si="7"/>
        <v>9.9999999999999992E-2</v>
      </c>
      <c r="AM52" s="834">
        <f t="shared" si="7"/>
        <v>9.9999999999999992E-2</v>
      </c>
      <c r="AN52" s="834">
        <f t="shared" si="7"/>
        <v>9.9999999999999992E-2</v>
      </c>
      <c r="AO52" s="834">
        <f t="shared" si="7"/>
        <v>9.9999999999999992E-2</v>
      </c>
      <c r="AP52" s="834">
        <f t="shared" si="7"/>
        <v>9.9999999999999992E-2</v>
      </c>
      <c r="AQ52" s="834">
        <f t="shared" si="7"/>
        <v>9.9999999999999992E-2</v>
      </c>
      <c r="AR52" s="834">
        <f t="shared" si="7"/>
        <v>9.9999999999999992E-2</v>
      </c>
      <c r="AS52" s="834">
        <f t="shared" si="7"/>
        <v>9.9999999999999992E-2</v>
      </c>
      <c r="AT52" s="834">
        <f t="shared" si="7"/>
        <v>9.9999999999999992E-2</v>
      </c>
      <c r="AU52" s="834">
        <f t="shared" si="7"/>
        <v>9.9999999999999992E-2</v>
      </c>
      <c r="AV52" s="835">
        <f t="shared" si="7"/>
        <v>9.9999999999999992E-2</v>
      </c>
    </row>
    <row r="53" spans="2:48" s="15" customFormat="1" ht="13.5" outlineLevel="1" x14ac:dyDescent="0.25">
      <c r="B53" s="671" t="s">
        <v>1348</v>
      </c>
      <c r="C53" s="679" t="s">
        <v>1283</v>
      </c>
      <c r="D53" s="677">
        <f>SISENDID!$E$274*'TR13-18'!D52</f>
        <v>0</v>
      </c>
      <c r="E53" s="677">
        <f>SISENDID!$E$274*'TR13-18'!E52</f>
        <v>0</v>
      </c>
      <c r="F53" s="677">
        <f>SISENDID!$E$274*'TR13-18'!F52</f>
        <v>1.3</v>
      </c>
      <c r="G53" s="677">
        <f>SISENDID!$E$274*'TR13-18'!G52</f>
        <v>2.6</v>
      </c>
      <c r="H53" s="677">
        <f>SISENDID!$E$274*'TR13-18'!H52</f>
        <v>3.9</v>
      </c>
      <c r="I53" s="677">
        <f>SISENDID!$E$274*'TR13-18'!I52</f>
        <v>5.2</v>
      </c>
      <c r="J53" s="677">
        <f>SISENDID!$E$274*'TR13-18'!J52</f>
        <v>6.5</v>
      </c>
      <c r="K53" s="677">
        <f>SISENDID!$E$274*'TR13-18'!K52</f>
        <v>7.8000000000000007</v>
      </c>
      <c r="L53" s="677">
        <f>SISENDID!$E$274*'TR13-18'!L52</f>
        <v>9.1000000000000014</v>
      </c>
      <c r="M53" s="677">
        <f>SISENDID!$E$274*'TR13-18'!M52</f>
        <v>10.4</v>
      </c>
      <c r="N53" s="677">
        <f>SISENDID!$E$274*'TR13-18'!N52</f>
        <v>11.7</v>
      </c>
      <c r="O53" s="677">
        <f>SISENDID!$E$274*'TR13-18'!O52</f>
        <v>12.999999999999998</v>
      </c>
      <c r="P53" s="677">
        <f>SISENDID!$E$274*'TR13-18'!P52</f>
        <v>12.999999999999998</v>
      </c>
      <c r="Q53" s="677">
        <f>SISENDID!$E$274*'TR13-18'!Q52</f>
        <v>12.999999999999998</v>
      </c>
      <c r="R53" s="677">
        <f>SISENDID!$E$274*'TR13-18'!R52</f>
        <v>12.999999999999998</v>
      </c>
      <c r="S53" s="677">
        <f>SISENDID!$E$274*'TR13-18'!S52</f>
        <v>12.999999999999998</v>
      </c>
      <c r="T53" s="677">
        <f>SISENDID!$E$274*'TR13-18'!T52</f>
        <v>12.999999999999998</v>
      </c>
      <c r="U53" s="677">
        <f>SISENDID!$E$274*'TR13-18'!U52</f>
        <v>12.999999999999998</v>
      </c>
      <c r="V53" s="677">
        <f>SISENDID!$E$274*'TR13-18'!V52</f>
        <v>12.999999999999998</v>
      </c>
      <c r="W53" s="677">
        <f>SISENDID!$E$274*'TR13-18'!W52</f>
        <v>12.999999999999998</v>
      </c>
      <c r="X53" s="677">
        <f>SISENDID!$E$274*'TR13-18'!X52</f>
        <v>12.999999999999998</v>
      </c>
      <c r="Y53" s="677">
        <f>SISENDID!$E$274*'TR13-18'!Y52</f>
        <v>12.999999999999998</v>
      </c>
      <c r="Z53" s="677">
        <f>SISENDID!$E$274*'TR13-18'!Z52</f>
        <v>12.999999999999998</v>
      </c>
      <c r="AA53" s="677">
        <f>SISENDID!$E$274*'TR13-18'!AA52</f>
        <v>12.999999999999998</v>
      </c>
      <c r="AB53" s="677">
        <f>SISENDID!$E$274*'TR13-18'!AB52</f>
        <v>12.999999999999998</v>
      </c>
      <c r="AC53" s="677">
        <f>SISENDID!$E$274*'TR13-18'!AC52</f>
        <v>12.999999999999998</v>
      </c>
      <c r="AD53" s="677">
        <f>SISENDID!$E$274*'TR13-18'!AD52</f>
        <v>12.999999999999998</v>
      </c>
      <c r="AE53" s="677">
        <f>SISENDID!$E$274*'TR13-18'!AE52</f>
        <v>12.999999999999998</v>
      </c>
      <c r="AF53" s="677">
        <f>SISENDID!$E$274*'TR13-18'!AF52</f>
        <v>12.999999999999998</v>
      </c>
      <c r="AG53" s="677">
        <f>SISENDID!$E$274*'TR13-18'!AG52</f>
        <v>12.999999999999998</v>
      </c>
      <c r="AH53" s="677">
        <f>SISENDID!$E$274*'TR13-18'!AH52</f>
        <v>12.999999999999998</v>
      </c>
      <c r="AI53" s="677">
        <f>SISENDID!$E$274*'TR13-18'!AI52</f>
        <v>12.999999999999998</v>
      </c>
      <c r="AJ53" s="677">
        <f>SISENDID!$E$274*'TR13-18'!AJ52</f>
        <v>12.999999999999998</v>
      </c>
      <c r="AK53" s="677">
        <f>SISENDID!$E$274*'TR13-18'!AK52</f>
        <v>12.999999999999998</v>
      </c>
      <c r="AL53" s="677">
        <f>SISENDID!$E$274*'TR13-18'!AL52</f>
        <v>12.999999999999998</v>
      </c>
      <c r="AM53" s="677">
        <f>SISENDID!$E$274*'TR13-18'!AM52</f>
        <v>12.999999999999998</v>
      </c>
      <c r="AN53" s="677">
        <f>SISENDID!$E$274*'TR13-18'!AN52</f>
        <v>12.999999999999998</v>
      </c>
      <c r="AO53" s="677">
        <f>SISENDID!$E$274*'TR13-18'!AO52</f>
        <v>12.999999999999998</v>
      </c>
      <c r="AP53" s="677">
        <f>SISENDID!$E$274*'TR13-18'!AP52</f>
        <v>12.999999999999998</v>
      </c>
      <c r="AQ53" s="677">
        <f>SISENDID!$E$274*'TR13-18'!AQ52</f>
        <v>12.999999999999998</v>
      </c>
      <c r="AR53" s="677">
        <f>SISENDID!$E$274*'TR13-18'!AR52</f>
        <v>12.999999999999998</v>
      </c>
      <c r="AS53" s="677">
        <f>SISENDID!$E$274*'TR13-18'!AS52</f>
        <v>12.999999999999998</v>
      </c>
      <c r="AT53" s="677">
        <f>SISENDID!$E$274*'TR13-18'!AT52</f>
        <v>12.999999999999998</v>
      </c>
      <c r="AU53" s="677">
        <f>SISENDID!$E$274*'TR13-18'!AU52</f>
        <v>12.999999999999998</v>
      </c>
      <c r="AV53" s="819">
        <f>SISENDID!$E$274*'TR13-18'!AV52</f>
        <v>12.999999999999998</v>
      </c>
    </row>
    <row r="54" spans="2:48" s="15" customFormat="1" ht="13.5" outlineLevel="1" x14ac:dyDescent="0.25">
      <c r="B54" s="817" t="s">
        <v>1284</v>
      </c>
      <c r="C54" s="679" t="s">
        <v>1283</v>
      </c>
      <c r="D54" s="677">
        <f>D53*$C$12</f>
        <v>0</v>
      </c>
      <c r="E54" s="677">
        <f t="shared" ref="E54:I54" si="8">E53*$C$12</f>
        <v>0</v>
      </c>
      <c r="F54" s="677">
        <f t="shared" si="8"/>
        <v>0.97500000000000009</v>
      </c>
      <c r="G54" s="677">
        <f t="shared" si="8"/>
        <v>1.9500000000000002</v>
      </c>
      <c r="H54" s="677">
        <f t="shared" si="8"/>
        <v>2.9249999999999998</v>
      </c>
      <c r="I54" s="677">
        <f t="shared" si="8"/>
        <v>3.9000000000000004</v>
      </c>
      <c r="J54" s="677">
        <f t="shared" ref="J54" si="9">J53*$C$12</f>
        <v>4.875</v>
      </c>
      <c r="K54" s="677">
        <f t="shared" ref="K54" si="10">K53*$C$12</f>
        <v>5.8500000000000005</v>
      </c>
      <c r="L54" s="677">
        <f t="shared" ref="L54" si="11">L53*$C$12</f>
        <v>6.8250000000000011</v>
      </c>
      <c r="M54" s="677">
        <f t="shared" ref="M54:N54" si="12">M53*$C$12</f>
        <v>7.8000000000000007</v>
      </c>
      <c r="N54" s="677">
        <f t="shared" si="12"/>
        <v>8.7749999999999986</v>
      </c>
      <c r="O54" s="677">
        <f t="shared" ref="O54" si="13">O53*$C$12</f>
        <v>9.7499999999999982</v>
      </c>
      <c r="P54" s="677">
        <f t="shared" ref="P54" si="14">P53*$C$12</f>
        <v>9.7499999999999982</v>
      </c>
      <c r="Q54" s="677">
        <f t="shared" ref="Q54" si="15">Q53*$C$12</f>
        <v>9.7499999999999982</v>
      </c>
      <c r="R54" s="677">
        <f t="shared" ref="R54:S54" si="16">R53*$C$12</f>
        <v>9.7499999999999982</v>
      </c>
      <c r="S54" s="677">
        <f t="shared" si="16"/>
        <v>9.7499999999999982</v>
      </c>
      <c r="T54" s="677">
        <f t="shared" ref="T54" si="17">T53*$C$12</f>
        <v>9.7499999999999982</v>
      </c>
      <c r="U54" s="677">
        <f t="shared" ref="U54" si="18">U53*$C$12</f>
        <v>9.7499999999999982</v>
      </c>
      <c r="V54" s="677">
        <f t="shared" ref="V54" si="19">V53*$C$12</f>
        <v>9.7499999999999982</v>
      </c>
      <c r="W54" s="677">
        <f t="shared" ref="W54:X54" si="20">W53*$C$12</f>
        <v>9.7499999999999982</v>
      </c>
      <c r="X54" s="677">
        <f t="shared" si="20"/>
        <v>9.7499999999999982</v>
      </c>
      <c r="Y54" s="677">
        <f t="shared" ref="Y54" si="21">Y53*$C$12</f>
        <v>9.7499999999999982</v>
      </c>
      <c r="Z54" s="677">
        <f t="shared" ref="Z54" si="22">Z53*$C$12</f>
        <v>9.7499999999999982</v>
      </c>
      <c r="AA54" s="677">
        <f t="shared" ref="AA54" si="23">AA53*$C$12</f>
        <v>9.7499999999999982</v>
      </c>
      <c r="AB54" s="677">
        <f t="shared" ref="AB54:AC54" si="24">AB53*$C$12</f>
        <v>9.7499999999999982</v>
      </c>
      <c r="AC54" s="677">
        <f t="shared" si="24"/>
        <v>9.7499999999999982</v>
      </c>
      <c r="AD54" s="677">
        <f t="shared" ref="AD54" si="25">AD53*$C$12</f>
        <v>9.7499999999999982</v>
      </c>
      <c r="AE54" s="677">
        <f t="shared" ref="AE54" si="26">AE53*$C$12</f>
        <v>9.7499999999999982</v>
      </c>
      <c r="AF54" s="677">
        <f t="shared" ref="AF54" si="27">AF53*$C$12</f>
        <v>9.7499999999999982</v>
      </c>
      <c r="AG54" s="677">
        <f t="shared" ref="AG54:AH54" si="28">AG53*$C$12</f>
        <v>9.7499999999999982</v>
      </c>
      <c r="AH54" s="677">
        <f t="shared" si="28"/>
        <v>9.7499999999999982</v>
      </c>
      <c r="AI54" s="677">
        <f t="shared" ref="AI54" si="29">AI53*$C$12</f>
        <v>9.7499999999999982</v>
      </c>
      <c r="AJ54" s="677">
        <f t="shared" ref="AJ54" si="30">AJ53*$C$12</f>
        <v>9.7499999999999982</v>
      </c>
      <c r="AK54" s="677">
        <f t="shared" ref="AK54" si="31">AK53*$C$12</f>
        <v>9.7499999999999982</v>
      </c>
      <c r="AL54" s="677">
        <f t="shared" ref="AL54:AM54" si="32">AL53*$C$12</f>
        <v>9.7499999999999982</v>
      </c>
      <c r="AM54" s="677">
        <f t="shared" si="32"/>
        <v>9.7499999999999982</v>
      </c>
      <c r="AN54" s="677">
        <f t="shared" ref="AN54" si="33">AN53*$C$12</f>
        <v>9.7499999999999982</v>
      </c>
      <c r="AO54" s="677">
        <f t="shared" ref="AO54" si="34">AO53*$C$12</f>
        <v>9.7499999999999982</v>
      </c>
      <c r="AP54" s="677">
        <f t="shared" ref="AP54" si="35">AP53*$C$12</f>
        <v>9.7499999999999982</v>
      </c>
      <c r="AQ54" s="677">
        <f t="shared" ref="AQ54:AR54" si="36">AQ53*$C$12</f>
        <v>9.7499999999999982</v>
      </c>
      <c r="AR54" s="677">
        <f t="shared" si="36"/>
        <v>9.7499999999999982</v>
      </c>
      <c r="AS54" s="677">
        <f t="shared" ref="AS54" si="37">AS53*$C$12</f>
        <v>9.7499999999999982</v>
      </c>
      <c r="AT54" s="677">
        <f t="shared" ref="AT54" si="38">AT53*$C$12</f>
        <v>9.7499999999999982</v>
      </c>
      <c r="AU54" s="677">
        <f t="shared" ref="AU54" si="39">AU53*$C$12</f>
        <v>9.7499999999999982</v>
      </c>
      <c r="AV54" s="819">
        <f t="shared" ref="AV54" si="40">AV53*$C$12</f>
        <v>9.7499999999999982</v>
      </c>
    </row>
    <row r="55" spans="2:48" s="15" customFormat="1" ht="13.5" outlineLevel="1" x14ac:dyDescent="0.25">
      <c r="B55" s="817" t="s">
        <v>1284</v>
      </c>
      <c r="C55" s="818" t="s">
        <v>657</v>
      </c>
      <c r="D55" s="675">
        <f>D54*1000/$C$14*$C$13</f>
        <v>0</v>
      </c>
      <c r="E55" s="675">
        <f t="shared" ref="E55:I55" si="41">E54*1000/$C$14*$C$13</f>
        <v>0</v>
      </c>
      <c r="F55" s="675">
        <f t="shared" si="41"/>
        <v>3482.1428571428578</v>
      </c>
      <c r="G55" s="675">
        <f t="shared" si="41"/>
        <v>6964.2857142857156</v>
      </c>
      <c r="H55" s="675">
        <f>H54*1000/$C$14*$C$13</f>
        <v>10446.428571428571</v>
      </c>
      <c r="I55" s="675">
        <f t="shared" si="41"/>
        <v>13928.571428571431</v>
      </c>
      <c r="J55" s="675">
        <f t="shared" ref="J55" si="42">J54*1000/$C$14*$C$13</f>
        <v>17410.714285714286</v>
      </c>
      <c r="K55" s="675">
        <f t="shared" ref="K55" si="43">K54*1000/$C$14*$C$13</f>
        <v>20892.857142857145</v>
      </c>
      <c r="L55" s="675">
        <f t="shared" ref="L55" si="44">L54*1000/$C$14*$C$13</f>
        <v>24375.000000000004</v>
      </c>
      <c r="M55" s="675">
        <f t="shared" ref="M55:N55" si="45">M54*1000/$C$14*$C$13</f>
        <v>27857.142857142862</v>
      </c>
      <c r="N55" s="675">
        <f t="shared" si="45"/>
        <v>31339.28571428571</v>
      </c>
      <c r="O55" s="675">
        <f t="shared" ref="O55" si="46">O54*1000/$C$14*$C$13</f>
        <v>34821.428571428565</v>
      </c>
      <c r="P55" s="675">
        <f t="shared" ref="P55" si="47">P54*1000/$C$14*$C$13</f>
        <v>34821.428571428565</v>
      </c>
      <c r="Q55" s="675">
        <f t="shared" ref="Q55" si="48">Q54*1000/$C$14*$C$13</f>
        <v>34821.428571428565</v>
      </c>
      <c r="R55" s="675">
        <f t="shared" ref="R55:S55" si="49">R54*1000/$C$14*$C$13</f>
        <v>34821.428571428565</v>
      </c>
      <c r="S55" s="675">
        <f t="shared" si="49"/>
        <v>34821.428571428565</v>
      </c>
      <c r="T55" s="675">
        <f t="shared" ref="T55" si="50">T54*1000/$C$14*$C$13</f>
        <v>34821.428571428565</v>
      </c>
      <c r="U55" s="675">
        <f t="shared" ref="U55" si="51">U54*1000/$C$14*$C$13</f>
        <v>34821.428571428565</v>
      </c>
      <c r="V55" s="675">
        <f t="shared" ref="V55" si="52">V54*1000/$C$14*$C$13</f>
        <v>34821.428571428565</v>
      </c>
      <c r="W55" s="675">
        <f t="shared" ref="W55:X55" si="53">W54*1000/$C$14*$C$13</f>
        <v>34821.428571428565</v>
      </c>
      <c r="X55" s="675">
        <f t="shared" si="53"/>
        <v>34821.428571428565</v>
      </c>
      <c r="Y55" s="675">
        <f t="shared" ref="Y55" si="54">Y54*1000/$C$14*$C$13</f>
        <v>34821.428571428565</v>
      </c>
      <c r="Z55" s="675">
        <f t="shared" ref="Z55" si="55">Z54*1000/$C$14*$C$13</f>
        <v>34821.428571428565</v>
      </c>
      <c r="AA55" s="675">
        <f t="shared" ref="AA55" si="56">AA54*1000/$C$14*$C$13</f>
        <v>34821.428571428565</v>
      </c>
      <c r="AB55" s="675">
        <f t="shared" ref="AB55:AC55" si="57">AB54*1000/$C$14*$C$13</f>
        <v>34821.428571428565</v>
      </c>
      <c r="AC55" s="675">
        <f t="shared" si="57"/>
        <v>34821.428571428565</v>
      </c>
      <c r="AD55" s="675">
        <f t="shared" ref="AD55" si="58">AD54*1000/$C$14*$C$13</f>
        <v>34821.428571428565</v>
      </c>
      <c r="AE55" s="675">
        <f t="shared" ref="AE55" si="59">AE54*1000/$C$14*$C$13</f>
        <v>34821.428571428565</v>
      </c>
      <c r="AF55" s="675">
        <f t="shared" ref="AF55" si="60">AF54*1000/$C$14*$C$13</f>
        <v>34821.428571428565</v>
      </c>
      <c r="AG55" s="675">
        <f t="shared" ref="AG55:AH55" si="61">AG54*1000/$C$14*$C$13</f>
        <v>34821.428571428565</v>
      </c>
      <c r="AH55" s="675">
        <f t="shared" si="61"/>
        <v>34821.428571428565</v>
      </c>
      <c r="AI55" s="675">
        <f t="shared" ref="AI55" si="62">AI54*1000/$C$14*$C$13</f>
        <v>34821.428571428565</v>
      </c>
      <c r="AJ55" s="675">
        <f t="shared" ref="AJ55" si="63">AJ54*1000/$C$14*$C$13</f>
        <v>34821.428571428565</v>
      </c>
      <c r="AK55" s="675">
        <f t="shared" ref="AK55" si="64">AK54*1000/$C$14*$C$13</f>
        <v>34821.428571428565</v>
      </c>
      <c r="AL55" s="675">
        <f t="shared" ref="AL55:AM55" si="65">AL54*1000/$C$14*$C$13</f>
        <v>34821.428571428565</v>
      </c>
      <c r="AM55" s="675">
        <f t="shared" si="65"/>
        <v>34821.428571428565</v>
      </c>
      <c r="AN55" s="675">
        <f t="shared" ref="AN55" si="66">AN54*1000/$C$14*$C$13</f>
        <v>34821.428571428565</v>
      </c>
      <c r="AO55" s="675">
        <f t="shared" ref="AO55" si="67">AO54*1000/$C$14*$C$13</f>
        <v>34821.428571428565</v>
      </c>
      <c r="AP55" s="675">
        <f t="shared" ref="AP55" si="68">AP54*1000/$C$14*$C$13</f>
        <v>34821.428571428565</v>
      </c>
      <c r="AQ55" s="675">
        <f t="shared" ref="AQ55:AR55" si="69">AQ54*1000/$C$14*$C$13</f>
        <v>34821.428571428565</v>
      </c>
      <c r="AR55" s="675">
        <f t="shared" si="69"/>
        <v>34821.428571428565</v>
      </c>
      <c r="AS55" s="675">
        <f t="shared" ref="AS55" si="70">AS54*1000/$C$14*$C$13</f>
        <v>34821.428571428565</v>
      </c>
      <c r="AT55" s="675">
        <f t="shared" ref="AT55" si="71">AT54*1000/$C$14*$C$13</f>
        <v>34821.428571428565</v>
      </c>
      <c r="AU55" s="675">
        <f t="shared" ref="AU55" si="72">AU54*1000/$C$14*$C$13</f>
        <v>34821.428571428565</v>
      </c>
      <c r="AV55" s="676">
        <f t="shared" ref="AV55" si="73">AV54*1000/$C$14*$C$13</f>
        <v>34821.428571428565</v>
      </c>
    </row>
    <row r="56" spans="2:48" s="15" customFormat="1" ht="13.5" outlineLevel="1" x14ac:dyDescent="0.25">
      <c r="B56" s="817" t="s">
        <v>1285</v>
      </c>
      <c r="C56" s="818" t="s">
        <v>1286</v>
      </c>
      <c r="D56" s="675">
        <f>D$55/100*SISENDID!F261</f>
        <v>0</v>
      </c>
      <c r="E56" s="675">
        <f>E$55/100*SISENDID!G261</f>
        <v>0</v>
      </c>
      <c r="F56" s="675">
        <f>F$55/100*SISENDID!H261</f>
        <v>174.40039626715082</v>
      </c>
      <c r="G56" s="675">
        <f>G$55/100*SISENDID!I261</f>
        <v>322.53676604728355</v>
      </c>
      <c r="H56" s="675">
        <f>H$55/100*SISENDID!J261</f>
        <v>445.18999163854335</v>
      </c>
      <c r="I56" s="675">
        <f>I$55/100*SISENDID!K261</f>
        <v>543.12547508563671</v>
      </c>
      <c r="J56" s="675">
        <f>J$55/100*SISENDID!L261</f>
        <v>617.09336947172233</v>
      </c>
      <c r="K56" s="675">
        <f>K$55/100*SISENDID!M261</f>
        <v>667.82880793468303</v>
      </c>
      <c r="L56" s="675">
        <f>L$55/100*SISENDID!N261</f>
        <v>696.05213040201306</v>
      </c>
      <c r="M56" s="675">
        <f>M$55/100*SISENDID!O261</f>
        <v>702.46910803963829</v>
      </c>
      <c r="N56" s="675">
        <f>N$55/100*SISENDID!P261</f>
        <v>748.49689798948293</v>
      </c>
      <c r="O56" s="675">
        <f>O$55/100*SISENDID!Q261</f>
        <v>786.36113466721827</v>
      </c>
      <c r="P56" s="675">
        <f>P$55/100*SISENDID!R261</f>
        <v>742.15734716183044</v>
      </c>
      <c r="Q56" s="675">
        <f>Q$55/100*SISENDID!S261</f>
        <v>699.02950962459397</v>
      </c>
      <c r="R56" s="675">
        <f>R$55/100*SISENDID!T261</f>
        <v>656.95570022923471</v>
      </c>
      <c r="S56" s="675">
        <f>S$55/100*SISENDID!U261</f>
        <v>615.91441526313804</v>
      </c>
      <c r="T56" s="675">
        <f>T$55/100*SISENDID!V261</f>
        <v>575.88456136498542</v>
      </c>
      <c r="U56" s="675">
        <f>U$55/100*SISENDID!W261</f>
        <v>536.84544790499365</v>
      </c>
      <c r="V56" s="675">
        <f>V$55/100*SISENDID!X261</f>
        <v>498.77677950514328</v>
      </c>
      <c r="W56" s="675">
        <f>W$55/100*SISENDID!Y261</f>
        <v>461.65864869683332</v>
      </c>
      <c r="X56" s="675">
        <f>X$55/100*SISENDID!Z261</f>
        <v>425.47152871345031</v>
      </c>
      <c r="Y56" s="675">
        <f>Y$55/100*SISENDID!AA261</f>
        <v>390.1962664153765</v>
      </c>
      <c r="Z56" s="675">
        <f>Z$55/100*SISENDID!AB261</f>
        <v>355.81407534501687</v>
      </c>
      <c r="AA56" s="675">
        <f>AA$55/100*SISENDID!AC261</f>
        <v>322.30652890946192</v>
      </c>
      <c r="AB56" s="675">
        <f>AB$55/100*SISENDID!AD261</f>
        <v>289.65555368845048</v>
      </c>
      <c r="AC56" s="675">
        <f>AC$55/100*SISENDID!AE261</f>
        <v>275.03702223244011</v>
      </c>
      <c r="AD56" s="675">
        <f>AD$55/100*SISENDID!AF261</f>
        <v>260.43342369130448</v>
      </c>
      <c r="AE56" s="675">
        <f>AE$55/100*SISENDID!AG261</f>
        <v>245.84464785441577</v>
      </c>
      <c r="AF56" s="675">
        <f>AF$55/100*SISENDID!AH261</f>
        <v>231.2705852399296</v>
      </c>
      <c r="AG56" s="675">
        <f>AG$55/100*SISENDID!AI261</f>
        <v>216.71112709025269</v>
      </c>
      <c r="AH56" s="675">
        <f>AH$55/100*SISENDID!AJ261</f>
        <v>202.16616536753673</v>
      </c>
      <c r="AI56" s="675">
        <f>AI$55/100*SISENDID!AK261</f>
        <v>187.63559274920058</v>
      </c>
      <c r="AJ56" s="675">
        <f>AJ$55/100*SISENDID!AL261</f>
        <v>173.11930262347809</v>
      </c>
      <c r="AK56" s="675">
        <f>AK$55/100*SISENDID!AM261</f>
        <v>158.61718908499324</v>
      </c>
      <c r="AL56" s="675">
        <f>AL$55/100*SISENDID!AN261</f>
        <v>144.1291469303614</v>
      </c>
      <c r="AM56" s="675">
        <f>AM$55/100*SISENDID!AO261</f>
        <v>129.65507165381712</v>
      </c>
      <c r="AN56" s="675">
        <f>AN$55/100*SISENDID!AP261</f>
        <v>115.19485944286804</v>
      </c>
      <c r="AO56" s="675">
        <f>AO$55/100*SISENDID!AQ261</f>
        <v>100.7484071739747</v>
      </c>
      <c r="AP56" s="675">
        <f>AP$55/100*SISENDID!AR261</f>
        <v>86.31561240825647</v>
      </c>
      <c r="AQ56" s="675">
        <f>AQ$55/100*SISENDID!AS261</f>
        <v>71.896373387222937</v>
      </c>
      <c r="AR56" s="675">
        <f>AR$55/100*SISENDID!AT261</f>
        <v>57.490589028531005</v>
      </c>
      <c r="AS56" s="675">
        <f>AS$55/100*SISENDID!AU261</f>
        <v>43.098158921767435</v>
      </c>
      <c r="AT56" s="675">
        <f>AT$55/100*SISENDID!AV261</f>
        <v>28.718983324256516</v>
      </c>
      <c r="AU56" s="675">
        <f>AU$55/100*SISENDID!AW261</f>
        <v>14.352963156893027</v>
      </c>
      <c r="AV56" s="676">
        <f>AV$55/100*SISENDID!AX261</f>
        <v>0</v>
      </c>
    </row>
    <row r="57" spans="2:48" s="15" customFormat="1" ht="13.5" outlineLevel="1" x14ac:dyDescent="0.25">
      <c r="B57" s="817" t="s">
        <v>1285</v>
      </c>
      <c r="C57" s="818" t="s">
        <v>659</v>
      </c>
      <c r="D57" s="675">
        <f>D56*SISENDID!$E$418</f>
        <v>0</v>
      </c>
      <c r="E57" s="675">
        <f>E56*SISENDID!$E$418</f>
        <v>0</v>
      </c>
      <c r="F57" s="675">
        <f>F56*SISENDID!$E$418</f>
        <v>1726.2500023315122</v>
      </c>
      <c r="G57" s="675">
        <f>G56*SISENDID!$E$418</f>
        <v>3192.533417689222</v>
      </c>
      <c r="H57" s="675">
        <f>H56*SISENDID!$E$418</f>
        <v>4406.5795752366294</v>
      </c>
      <c r="I57" s="675">
        <f>I56*SISENDID!$E$418</f>
        <v>5375.9645774926485</v>
      </c>
      <c r="J57" s="675">
        <f>J56*SISENDID!$E$418</f>
        <v>6108.1135897050017</v>
      </c>
      <c r="K57" s="675">
        <f>K56*SISENDID!$E$418</f>
        <v>6610.3031066990789</v>
      </c>
      <c r="L57" s="675">
        <f>L56*SISENDID!$E$418</f>
        <v>6889.6631971452052</v>
      </c>
      <c r="M57" s="675">
        <f>M56*SISENDID!$E$418</f>
        <v>6953.1797251979469</v>
      </c>
      <c r="N57" s="675">
        <f>N56*SISENDID!$E$418</f>
        <v>7408.771995679499</v>
      </c>
      <c r="O57" s="675">
        <f>O56*SISENDID!$E$418</f>
        <v>7783.5597831630594</v>
      </c>
      <c r="P57" s="675">
        <f>P56*SISENDID!$E$418</f>
        <v>7346.02185367723</v>
      </c>
      <c r="Q57" s="675">
        <f>Q56*SISENDID!$E$418</f>
        <v>6919.1338921661554</v>
      </c>
      <c r="R57" s="675">
        <f>R56*SISENDID!$E$418</f>
        <v>6502.6789120090107</v>
      </c>
      <c r="S57" s="675">
        <f>S56*SISENDID!$E$418</f>
        <v>6096.4440651575924</v>
      </c>
      <c r="T57" s="675">
        <f>T56*SISENDID!$E$418</f>
        <v>5700.2205653028977</v>
      </c>
      <c r="U57" s="675">
        <f>U56*SISENDID!$E$418</f>
        <v>5313.8036124532073</v>
      </c>
      <c r="V57" s="675">
        <f>V56*SISENDID!$E$418</f>
        <v>4936.9923188978091</v>
      </c>
      <c r="W57" s="675">
        <f>W56*SISENDID!$E$418</f>
        <v>4569.5896365309954</v>
      </c>
      <c r="X57" s="675">
        <f>X56*SISENDID!$E$418</f>
        <v>4211.4022855114736</v>
      </c>
      <c r="Y57" s="675">
        <f>Y56*SISENDID!$E$418</f>
        <v>3862.2406842326795</v>
      </c>
      <c r="Z57" s="675">
        <f>Z56*SISENDID!$E$418</f>
        <v>3521.9188805800459</v>
      </c>
      <c r="AA57" s="675">
        <f>AA56*SISENDID!$E$418</f>
        <v>3190.2544844516356</v>
      </c>
      <c r="AB57" s="675">
        <f>AB56*SISENDID!$E$418</f>
        <v>2867.0686015190204</v>
      </c>
      <c r="AC57" s="675">
        <f>AC56*SISENDID!$E$418</f>
        <v>2722.3714534611386</v>
      </c>
      <c r="AD57" s="675">
        <f>AD56*SISENDID!$E$418</f>
        <v>2577.8221143812698</v>
      </c>
      <c r="AE57" s="675">
        <f>AE56*SISENDID!$E$418</f>
        <v>2433.4194933925778</v>
      </c>
      <c r="AF57" s="675">
        <f>AF56*SISENDID!$E$418</f>
        <v>2289.1625068218709</v>
      </c>
      <c r="AG57" s="675">
        <f>AG56*SISENDID!$E$418</f>
        <v>2145.0500781647388</v>
      </c>
      <c r="AH57" s="675">
        <f>AH56*SISENDID!$E$418</f>
        <v>2001.0811380409521</v>
      </c>
      <c r="AI57" s="675">
        <f>AI56*SISENDID!$E$418</f>
        <v>1857.254624150137</v>
      </c>
      <c r="AJ57" s="675">
        <f>AJ56*SISENDID!$E$418</f>
        <v>1713.5694812277106</v>
      </c>
      <c r="AK57" s="675">
        <f>AK56*SISENDID!$E$418</f>
        <v>1570.0246610010799</v>
      </c>
      <c r="AL57" s="675">
        <f>AL56*SISENDID!$E$418</f>
        <v>1426.6191221461031</v>
      </c>
      <c r="AM57" s="675">
        <f>AM56*SISENDID!$E$418</f>
        <v>1283.3518302438124</v>
      </c>
      <c r="AN57" s="675">
        <f>AN56*SISENDID!$E$418</f>
        <v>1140.2217577373963</v>
      </c>
      <c r="AO57" s="675">
        <f>AO56*SISENDID!$E$418</f>
        <v>997.22788388943627</v>
      </c>
      <c r="AP57" s="675">
        <f>AP56*SISENDID!$E$418</f>
        <v>854.36919473940418</v>
      </c>
      <c r="AQ57" s="675">
        <f>AQ56*SISENDID!$E$418</f>
        <v>711.64468306140998</v>
      </c>
      <c r="AR57" s="675">
        <f>AR56*SISENDID!$E$418</f>
        <v>569.05334832220558</v>
      </c>
      <c r="AS57" s="675">
        <f>AS56*SISENDID!$E$418</f>
        <v>426.59419663943839</v>
      </c>
      <c r="AT57" s="675">
        <f>AT56*SISENDID!$E$418</f>
        <v>284.26624074015581</v>
      </c>
      <c r="AU57" s="675">
        <f>AU56*SISENDID!$E$418</f>
        <v>142.06849991955855</v>
      </c>
      <c r="AV57" s="676">
        <f>AV56*SISENDID!$E$418</f>
        <v>0</v>
      </c>
    </row>
    <row r="58" spans="2:48" s="15" customFormat="1" ht="13.5" outlineLevel="1" x14ac:dyDescent="0.25">
      <c r="B58" s="817" t="s">
        <v>1287</v>
      </c>
      <c r="C58" s="818" t="s">
        <v>659</v>
      </c>
      <c r="D58" s="675">
        <f>D$55/100*SISENDID!F262</f>
        <v>0</v>
      </c>
      <c r="E58" s="675">
        <f>E$55/100*SISENDID!G262</f>
        <v>0</v>
      </c>
      <c r="F58" s="675">
        <f>F$55/100*SISENDID!H262</f>
        <v>204.01550395431809</v>
      </c>
      <c r="G58" s="675">
        <f>G$55/100*SISENDID!I262</f>
        <v>467.14605886117727</v>
      </c>
      <c r="H58" s="675">
        <f>H$55/100*SISENDID!J262</f>
        <v>789.10463750675683</v>
      </c>
      <c r="I58" s="675">
        <f>I$55/100*SISENDID!K262</f>
        <v>1169.6046660468985</v>
      </c>
      <c r="J58" s="675">
        <f>J$55/100*SISENDID!L262</f>
        <v>1608.3600282889888</v>
      </c>
      <c r="K58" s="675">
        <f>K$55/100*SISENDID!M262</f>
        <v>2105.0850699176203</v>
      </c>
      <c r="L58" s="675">
        <f>L$55/100*SISENDID!N262</f>
        <v>2659.4946026644834</v>
      </c>
      <c r="M58" s="675">
        <f>M$55/100*SISENDID!O262</f>
        <v>3271.3039084229504</v>
      </c>
      <c r="N58" s="675">
        <f>N$55/100*SISENDID!P262</f>
        <v>3775.2622684869489</v>
      </c>
      <c r="O58" s="675">
        <f>O$55/100*SISENDID!Q262</f>
        <v>4299.9057169856687</v>
      </c>
      <c r="P58" s="675">
        <f>P$55/100*SISENDID!R262</f>
        <v>4404.6407834838037</v>
      </c>
      <c r="Q58" s="675">
        <f>Q$55/100*SISENDID!S262</f>
        <v>4508.9423585668783</v>
      </c>
      <c r="R58" s="675">
        <f>R$55/100*SISENDID!T262</f>
        <v>4612.8117440179167</v>
      </c>
      <c r="S58" s="675">
        <f>S$55/100*SISENDID!U262</f>
        <v>4716.2502382129906</v>
      </c>
      <c r="T58" s="675">
        <f>T$55/100*SISENDID!V262</f>
        <v>4819.2591361293062</v>
      </c>
      <c r="U58" s="675">
        <f>U$55/100*SISENDID!W262</f>
        <v>4921.8397293532753</v>
      </c>
      <c r="V58" s="675">
        <f>V$55/100*SISENDID!X262</f>
        <v>5023.993306088576</v>
      </c>
      <c r="W58" s="675">
        <f>W$55/100*SISENDID!Y262</f>
        <v>5125.7211511641844</v>
      </c>
      <c r="X58" s="675">
        <f>X$55/100*SISENDID!Z262</f>
        <v>5227.024546042403</v>
      </c>
      <c r="Y58" s="675">
        <f>Y$55/100*SISENDID!AA262</f>
        <v>5327.9047688268593</v>
      </c>
      <c r="Z58" s="675">
        <f>Z$55/100*SISENDID!AB262</f>
        <v>5428.3630942704976</v>
      </c>
      <c r="AA58" s="675">
        <f>AA$55/100*SISENDID!AC262</f>
        <v>5528.4007937835468</v>
      </c>
      <c r="AB58" s="675">
        <f>AB$55/100*SISENDID!AD262</f>
        <v>5628.0191354414719</v>
      </c>
      <c r="AC58" s="675">
        <f>AC$55/100*SISENDID!AE262</f>
        <v>5668.989422023953</v>
      </c>
      <c r="AD58" s="675">
        <f>AD$55/100*SISENDID!AF262</f>
        <v>5709.8580963458053</v>
      </c>
      <c r="AE58" s="675">
        <f>AE$55/100*SISENDID!AG262</f>
        <v>5750.6248536207631</v>
      </c>
      <c r="AF58" s="675">
        <f>AF$55/100*SISENDID!AH262</f>
        <v>5791.2893940421673</v>
      </c>
      <c r="AG58" s="675">
        <f>AG$55/100*SISENDID!AI262</f>
        <v>5831.8514227444239</v>
      </c>
      <c r="AH58" s="675">
        <f>AH$55/100*SISENDID!AJ262</f>
        <v>5872.3106497646768</v>
      </c>
      <c r="AI58" s="675">
        <f>AI$55/100*SISENDID!AK262</f>
        <v>5912.6667900047696</v>
      </c>
      <c r="AJ58" s="675">
        <f>AJ$55/100*SISENDID!AL262</f>
        <v>5952.9195631934217</v>
      </c>
      <c r="AK58" s="675">
        <f>AK$55/100*SISENDID!AM262</f>
        <v>5993.0686938486551</v>
      </c>
      <c r="AL58" s="675">
        <f>AL$55/100*SISENDID!AN262</f>
        <v>6033.1139112404826</v>
      </c>
      <c r="AM58" s="675">
        <f>AM$55/100*SISENDID!AO262</f>
        <v>6073.0549493538128</v>
      </c>
      <c r="AN58" s="675">
        <f>AN$55/100*SISENDID!AP262</f>
        <v>6112.8915468516116</v>
      </c>
      <c r="AO58" s="675">
        <f>AO$55/100*SISENDID!AQ262</f>
        <v>6152.623447038296</v>
      </c>
      <c r="AP58" s="675">
        <f>AP$55/100*SISENDID!AR262</f>
        <v>6192.2503978233681</v>
      </c>
      <c r="AQ58" s="675">
        <f>AQ$55/100*SISENDID!AS262</f>
        <v>6231.7721516852798</v>
      </c>
      <c r="AR58" s="675">
        <f>AR$55/100*SISENDID!AT262</f>
        <v>6271.1884656355414</v>
      </c>
      <c r="AS58" s="675">
        <f>AS$55/100*SISENDID!AU262</f>
        <v>6310.4991011830498</v>
      </c>
      <c r="AT58" s="675">
        <f>AT$55/100*SISENDID!AV262</f>
        <v>6349.7038242986682</v>
      </c>
      <c r="AU58" s="675">
        <f>AU$55/100*SISENDID!AW262</f>
        <v>6388.8024053800091</v>
      </c>
      <c r="AV58" s="676">
        <f>AV$55/100*SISENDID!AX262</f>
        <v>6427.7946192164673</v>
      </c>
    </row>
    <row r="59" spans="2:48" s="39" customFormat="1" ht="13.5" outlineLevel="1" x14ac:dyDescent="0.25">
      <c r="B59" s="689" t="s">
        <v>1261</v>
      </c>
      <c r="C59" s="693" t="s">
        <v>853</v>
      </c>
      <c r="D59" s="710">
        <f>D$55*SISENDID!E263/1000</f>
        <v>0</v>
      </c>
      <c r="E59" s="710">
        <f>E$55*SISENDID!F263/1000</f>
        <v>0</v>
      </c>
      <c r="F59" s="710">
        <f>F$55*SISENDID!G263/1000</f>
        <v>502.06043586898875</v>
      </c>
      <c r="G59" s="710">
        <f>G$55*SISENDID!H263/1000</f>
        <v>931.15747580934192</v>
      </c>
      <c r="H59" s="710">
        <f>H$55*SISENDID!I263/1000</f>
        <v>1289.4152931163628</v>
      </c>
      <c r="I59" s="710">
        <f>I$55*SISENDID!J263/1000</f>
        <v>1578.9191965887235</v>
      </c>
      <c r="J59" s="710">
        <f>J$55*SISENDID!K263/1000</f>
        <v>1801.7160677637921</v>
      </c>
      <c r="K59" s="710">
        <f>K$55*SISENDID!L263/1000</f>
        <v>1959.8147996016889</v>
      </c>
      <c r="L59" s="710">
        <f>L$55*SISENDID!M263/1000</f>
        <v>2055.1867363493006</v>
      </c>
      <c r="M59" s="710">
        <f>M$55*SISENDID!N263/1000</f>
        <v>2089.7661143259816</v>
      </c>
      <c r="N59" s="710">
        <f>N$55*SISENDID!O263/1000</f>
        <v>2065.4505033827954</v>
      </c>
      <c r="O59" s="710">
        <f>O$55*SISENDID!P263/1000</f>
        <v>2172.0434925644445</v>
      </c>
      <c r="P59" s="710">
        <f>P$55*SISENDID!Q263/1000</f>
        <v>2052.2296166221645</v>
      </c>
      <c r="Q59" s="710">
        <f>Q$55*SISENDID!R263/1000</f>
        <v>1935.4365684271183</v>
      </c>
      <c r="R59" s="710">
        <f>R$55*SISENDID!S263/1000</f>
        <v>1821.5989255378224</v>
      </c>
      <c r="S59" s="710">
        <f>S$55*SISENDID!T263/1000</f>
        <v>1710.6526221092927</v>
      </c>
      <c r="T59" s="710">
        <f>T$55*SISENDID!U263/1000</f>
        <v>1602.5349210125185</v>
      </c>
      <c r="U59" s="710">
        <f>U$55*SISENDID!V263/1000</f>
        <v>1497.1843865280198</v>
      </c>
      <c r="V59" s="710">
        <f>V$55*SISENDID!W263/1000</f>
        <v>1394.5408576016248</v>
      </c>
      <c r="W59" s="710">
        <f>W$55*SISENDID!X263/1000</f>
        <v>1294.5454216508426</v>
      </c>
      <c r="X59" s="710">
        <f>X$55*SISENDID!Y263/1000</f>
        <v>1197.140388910472</v>
      </c>
      <c r="Y59" s="710">
        <f>Y$55*SISENDID!Z263/1000</f>
        <v>1102.2692673062875</v>
      </c>
      <c r="Z59" s="710">
        <f>Z$55*SISENDID!AA263/1000</f>
        <v>1009.8767378459025</v>
      </c>
      <c r="AA59" s="710">
        <f>AA$55*SISENDID!AB263/1000</f>
        <v>919.9086305161253</v>
      </c>
      <c r="AB59" s="710">
        <f>AB$55*SISENDID!AC263/1000</f>
        <v>832.31190067634111</v>
      </c>
      <c r="AC59" s="710">
        <f>AC$55*SISENDID!AD263/1000</f>
        <v>747.03460593767795</v>
      </c>
      <c r="AD59" s="710">
        <f>AD$55*SISENDID!AE263/1000</f>
        <v>700.23520691296335</v>
      </c>
      <c r="AE59" s="710">
        <f>AE$55*SISENDID!AF263/1000</f>
        <v>654.55704104232166</v>
      </c>
      <c r="AF59" s="710">
        <f>AF$55*SISENDID!AG263/1000</f>
        <v>609.97718189789737</v>
      </c>
      <c r="AG59" s="710">
        <f>AG$55*SISENDID!AH263/1000</f>
        <v>566.47315430186211</v>
      </c>
      <c r="AH59" s="710">
        <f>AH$55*SISENDID!AI263/1000</f>
        <v>524.02292544548652</v>
      </c>
      <c r="AI59" s="710">
        <f>AI$55*SISENDID!AJ263/1000</f>
        <v>482.60489618504437</v>
      </c>
      <c r="AJ59" s="710">
        <f>AJ$55*SISENDID!AK263/1000</f>
        <v>442.19789251098666</v>
      </c>
      <c r="AK59" s="710">
        <f>AK$55*SISENDID!AL263/1000</f>
        <v>402.78115718688991</v>
      </c>
      <c r="AL59" s="710">
        <f>AL$55*SISENDID!AM263/1000</f>
        <v>364.33434155475828</v>
      </c>
      <c r="AM59" s="710">
        <f>AM$55*SISENDID!AN263/1000</f>
        <v>326.83749750332663</v>
      </c>
      <c r="AN59" s="710">
        <f>AN$55*SISENDID!AO263/1000</f>
        <v>290.27106959608125</v>
      </c>
      <c r="AO59" s="710">
        <f>AO$55*SISENDID!AP263/1000</f>
        <v>254.61588735577951</v>
      </c>
      <c r="AP59" s="710">
        <f>AP$55*SISENDID!AQ263/1000</f>
        <v>219.85315770231736</v>
      </c>
      <c r="AQ59" s="710">
        <f>AQ$55*SISENDID!AR263/1000</f>
        <v>185.96445754085872</v>
      </c>
      <c r="AR59" s="710">
        <f>AR$55*SISENDID!AS263/1000</f>
        <v>152.9317264971981</v>
      </c>
      <c r="AS59" s="710">
        <f>AS$55*SISENDID!AT263/1000</f>
        <v>120.73725979739639</v>
      </c>
      <c r="AT59" s="710">
        <f>AT$55*SISENDID!AU263/1000</f>
        <v>89.363701288784753</v>
      </c>
      <c r="AU59" s="710">
        <f>AU$55*SISENDID!AV263/1000</f>
        <v>58.794036599493566</v>
      </c>
      <c r="AV59" s="426">
        <f>AV$55*SISENDID!AW263/1000</f>
        <v>29.011586433719323</v>
      </c>
    </row>
    <row r="61" spans="2:48" x14ac:dyDescent="0.25">
      <c r="D61" s="125"/>
    </row>
    <row r="62" spans="2:48" x14ac:dyDescent="0.25">
      <c r="D62" s="294"/>
      <c r="E62" s="127"/>
    </row>
    <row r="63" spans="2:48" x14ac:dyDescent="0.25">
      <c r="D63" s="294"/>
      <c r="E63" s="128"/>
    </row>
    <row r="64" spans="2:48" x14ac:dyDescent="0.25">
      <c r="D64" s="294"/>
      <c r="E64" s="128"/>
    </row>
    <row r="65" spans="4:5" x14ac:dyDescent="0.25">
      <c r="D65" s="129"/>
      <c r="E65" s="128"/>
    </row>
    <row r="66" spans="4:5" x14ac:dyDescent="0.25">
      <c r="E66" s="128"/>
    </row>
    <row r="67" spans="4:5" x14ac:dyDescent="0.25">
      <c r="E67" s="128"/>
    </row>
    <row r="68" spans="4:5" x14ac:dyDescent="0.25">
      <c r="E68" s="127"/>
    </row>
    <row r="69" spans="4:5" x14ac:dyDescent="0.25">
      <c r="E69" s="127"/>
    </row>
    <row r="70" spans="4:5" x14ac:dyDescent="0.25">
      <c r="E70" s="127"/>
    </row>
    <row r="71" spans="4:5" x14ac:dyDescent="0.25">
      <c r="E71" s="127"/>
    </row>
  </sheetData>
  <sheetProtection algorithmName="SHA-512" hashValue="w2e7jFGUYOzg647aKGXujzJ/abp04iR312aXlQpXDD2ptDh5uUA2Gc1o00sNSJuvzFT44qazfs4k4IuJTtq8wA==" saltValue="jCorC4dOAmQaiPIRFJG0aQ==" spinCount="100000" sheet="1" objects="1" scenarios="1" selectLockedCells="1"/>
  <mergeCells count="1">
    <mergeCell ref="D3:L3"/>
  </mergeCells>
  <conditionalFormatting sqref="C37:C39">
    <cfRule type="containsText" dxfId="41" priority="1" operator="containsText" text="Kõrge">
      <formula>NOT(ISERROR(SEARCH("Kõrge",C37)))</formula>
    </cfRule>
    <cfRule type="containsText" dxfId="40" priority="2" operator="containsText" text="Mõõdukas">
      <formula>NOT(ISERROR(SEARCH("Mõõdukas",C37)))</formula>
    </cfRule>
    <cfRule type="containsText" dxfId="39" priority="3" operator="containsText" text="Madal">
      <formula>NOT(ISERROR(SEARCH("Madal",C37)))</formula>
    </cfRule>
  </conditionalFormatting>
  <dataValidations count="3">
    <dataValidation type="list" allowBlank="1" showInputMessage="1" showErrorMessage="1" sqref="C39" xr:uid="{2C4CF10C-2230-435D-85AC-6B900DEC3096}">
      <formula1>I37:I39</formula1>
    </dataValidation>
    <dataValidation type="list" allowBlank="1" showInputMessage="1" showErrorMessage="1" sqref="C38" xr:uid="{56BE81BB-AB2D-421F-8361-A86EDD3B5D31}">
      <formula1>I37:I39</formula1>
    </dataValidation>
    <dataValidation type="list" allowBlank="1" showInputMessage="1" showErrorMessage="1" sqref="C37" xr:uid="{62E46E03-65DB-4A5E-A3B4-100FDEFDC182}">
      <formula1>I37:I39</formula1>
    </dataValidation>
  </dataValidations>
  <hyperlinks>
    <hyperlink ref="B1" location="MEETMED!A1" display="&lt;-MEETMETE NIMEKIRI" xr:uid="{D0DCDB64-6F21-40D7-8285-A34A9B44E55B}"/>
  </hyperlinks>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2EA09-12B2-4634-ADD9-E69E78A90CA5}">
  <sheetPr>
    <tabColor theme="5" tint="0.79998168889431442"/>
  </sheetPr>
  <dimension ref="A1:AV71"/>
  <sheetViews>
    <sheetView showGridLines="0" workbookViewId="0">
      <selection activeCell="C14" sqref="C14"/>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6" width="11.85546875" customWidth="1"/>
    <col min="7" max="8" width="9.7109375" customWidth="1"/>
    <col min="9" max="9" width="9" customWidth="1"/>
    <col min="10" max="10" width="11.7109375"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97.5" customHeight="1" x14ac:dyDescent="0.25">
      <c r="A3" s="260" t="s">
        <v>430</v>
      </c>
      <c r="B3" s="700" t="s">
        <v>1349</v>
      </c>
      <c r="C3" s="700"/>
      <c r="D3" s="990" t="str" cm="1">
        <f t="array" ref="D3">IF(A3="","",_xlfn.LET(
_xlpm.k,TRIM(A3),
_xlpm.codes,IF(ISNUMBER(SEARCH("-",_xlpm.k)),
_xlfn.LET(
_xlpm.startPart,_xlfn.TEXTBEFORE(_xlpm.k,"-"),
_xlpm.endNum,--_xlfn.TEXTAFTER(_xlpm.k,"-"),
_xlpm.p,MIN(IFERROR(FIND({0;1;2;3;4;5;6;7;8;9},_xlpm.startPart),1000000000)),
_xlpm.prefix,LEFT(_xlpm.startPart,_xlpm.p-1),
_xlpm.startNum,--MID(_xlpm.startPart,_xlpm.p,99),
_xlpm.prefix&amp;_xlfn.SEQUENCE(_xlpm.endNum-_xlpm.startNum+1,1,_xlpm.startNum,1)
),
_xlpm.k
),
_xlpm.tegevused,IFERROR(_xlfn._xlws.FILTER(MEETMED!$D:$D,ISNUMBER(MATCH(MEETMED!$B:$B,_xlpm.codes,0))),""),
"TEGEVUS: "&amp;_xlfn.TEXTJOIN(CHAR(10),TRUE,_xlpm.tegevused)
))</f>
        <v>TEGEVUS: Sõidujagamise ja mikromobiilsuse teenuse sidumine linna ühistranspordiga (sh jalgratta parkimise võimalused ühistranspordipeatuste juures, pargi ja reisi võimalused)
MaaS lahenduse väljatöötamine pealinnaregioonis (rong, linnabuss, maakonnabuss jms ühtses süsteemis) - Mobility as a service; ka kaasata autojagamise võimalused; keskne reisiplaneerija teenus
Liikuvuskeskuste loomine (nt Kristiine, Järve, Ülemiste)</v>
      </c>
      <c r="E3" s="990"/>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9.5" customHeight="1" outlineLevel="1" x14ac:dyDescent="0.25">
      <c r="B6" s="13" t="s">
        <v>1350</v>
      </c>
      <c r="C6" s="323"/>
      <c r="D6" s="323"/>
      <c r="E6" s="239"/>
      <c r="F6" s="323"/>
      <c r="G6" s="323"/>
    </row>
    <row r="7" spans="1:27" s="1" customFormat="1" ht="27" outlineLevel="1" x14ac:dyDescent="0.25">
      <c r="B7" s="836" t="s">
        <v>1</v>
      </c>
      <c r="C7" s="837" t="s">
        <v>1182</v>
      </c>
      <c r="D7" s="837" t="s">
        <v>1351</v>
      </c>
      <c r="E7" s="837" t="s">
        <v>1183</v>
      </c>
      <c r="F7" s="838" t="s">
        <v>1352</v>
      </c>
      <c r="G7" s="839" t="s">
        <v>1353</v>
      </c>
      <c r="H7" s="225"/>
      <c r="I7" s="225"/>
      <c r="J7" s="277" t="s">
        <v>876</v>
      </c>
    </row>
    <row r="8" spans="1:27" s="1" customFormat="1" outlineLevel="1" x14ac:dyDescent="0.25">
      <c r="B8" s="802" t="s">
        <v>1354</v>
      </c>
      <c r="C8" s="924">
        <v>2035</v>
      </c>
      <c r="D8" s="924">
        <v>3</v>
      </c>
      <c r="E8" s="840">
        <f>C8+D8-1</f>
        <v>2037</v>
      </c>
      <c r="F8" s="934">
        <v>5</v>
      </c>
      <c r="G8" s="906">
        <v>0.02</v>
      </c>
      <c r="H8" s="309"/>
      <c r="I8" s="309"/>
      <c r="J8" s="893" t="s">
        <v>1670</v>
      </c>
      <c r="K8" s="305" t="s">
        <v>877</v>
      </c>
    </row>
    <row r="9" spans="1:27" s="1" customFormat="1" outlineLevel="1" x14ac:dyDescent="0.25">
      <c r="B9" s="802" t="s">
        <v>1355</v>
      </c>
      <c r="C9" s="924">
        <v>2035</v>
      </c>
      <c r="D9" s="924">
        <v>3</v>
      </c>
      <c r="E9" s="840">
        <f t="shared" ref="E9:E12" si="0">C9+D9-1</f>
        <v>2037</v>
      </c>
      <c r="F9" s="934">
        <v>5</v>
      </c>
      <c r="G9" s="906">
        <v>0.02</v>
      </c>
      <c r="H9" s="309"/>
      <c r="I9" s="309"/>
      <c r="J9" s="892" t="s">
        <v>878</v>
      </c>
      <c r="K9" s="305" t="s">
        <v>1669</v>
      </c>
    </row>
    <row r="10" spans="1:27" s="1" customFormat="1" outlineLevel="1" x14ac:dyDescent="0.25">
      <c r="B10" s="802" t="s">
        <v>1356</v>
      </c>
      <c r="C10" s="924">
        <v>2035</v>
      </c>
      <c r="D10" s="924">
        <v>3</v>
      </c>
      <c r="E10" s="840">
        <f t="shared" si="0"/>
        <v>2037</v>
      </c>
      <c r="F10" s="934">
        <v>5</v>
      </c>
      <c r="G10" s="906">
        <v>0.02</v>
      </c>
      <c r="H10" s="309"/>
      <c r="J10" s="892" t="s">
        <v>1671</v>
      </c>
      <c r="K10" s="228">
        <v>1234</v>
      </c>
    </row>
    <row r="11" spans="1:27" s="1" customFormat="1" outlineLevel="1" x14ac:dyDescent="0.25">
      <c r="B11" s="802" t="s">
        <v>1357</v>
      </c>
      <c r="C11" s="924">
        <v>2035</v>
      </c>
      <c r="D11" s="924">
        <v>3</v>
      </c>
      <c r="E11" s="840">
        <f t="shared" ref="E11" si="1">C11+D11-1</f>
        <v>2037</v>
      </c>
      <c r="F11" s="934">
        <v>5</v>
      </c>
      <c r="G11" s="906">
        <v>0.02</v>
      </c>
      <c r="H11" s="309"/>
    </row>
    <row r="12" spans="1:27" s="1" customFormat="1" outlineLevel="1" x14ac:dyDescent="0.25">
      <c r="B12" s="802" t="s">
        <v>1358</v>
      </c>
      <c r="C12" s="924">
        <v>2035</v>
      </c>
      <c r="D12" s="924">
        <v>3</v>
      </c>
      <c r="E12" s="840">
        <f t="shared" si="0"/>
        <v>2037</v>
      </c>
      <c r="F12" s="934">
        <v>2</v>
      </c>
      <c r="G12" s="906">
        <v>0.05</v>
      </c>
      <c r="H12" s="305" t="s">
        <v>1676</v>
      </c>
    </row>
    <row r="13" spans="1:27" s="1" customFormat="1" outlineLevel="1" x14ac:dyDescent="0.25"/>
    <row r="14" spans="1:27" s="1" customFormat="1" outlineLevel="1" x14ac:dyDescent="0.25">
      <c r="B14" s="802" t="s">
        <v>1359</v>
      </c>
      <c r="C14" s="904">
        <v>0.75</v>
      </c>
      <c r="D14" s="7"/>
      <c r="E14" s="309"/>
      <c r="F14" s="7"/>
      <c r="G14" s="7"/>
      <c r="H14" s="7"/>
      <c r="I14" s="7"/>
      <c r="J14" s="7"/>
      <c r="K14" s="7"/>
      <c r="L14" s="7"/>
    </row>
    <row r="15" spans="1:27" s="1" customFormat="1" outlineLevel="1" x14ac:dyDescent="0.25">
      <c r="B15" s="802" t="s">
        <v>1267</v>
      </c>
      <c r="C15" s="905">
        <v>5</v>
      </c>
      <c r="D15" s="7" t="s">
        <v>1232</v>
      </c>
      <c r="E15" s="309"/>
      <c r="F15" s="7"/>
      <c r="G15" s="7"/>
      <c r="H15" s="7"/>
      <c r="I15" s="7"/>
      <c r="J15" s="7"/>
      <c r="K15" s="7"/>
      <c r="L15" s="7"/>
    </row>
    <row r="16" spans="1:27" s="1" customFormat="1" outlineLevel="1" x14ac:dyDescent="0.25">
      <c r="B16" s="802" t="s">
        <v>1268</v>
      </c>
      <c r="C16" s="905">
        <v>1.4</v>
      </c>
      <c r="D16" s="7" t="s">
        <v>1269</v>
      </c>
      <c r="E16" s="310" t="s">
        <v>1270</v>
      </c>
      <c r="F16" s="7"/>
      <c r="G16" s="7"/>
      <c r="H16" s="7"/>
      <c r="I16" s="7"/>
      <c r="J16" s="7"/>
      <c r="K16" s="7"/>
      <c r="L16" s="7"/>
    </row>
    <row r="17" spans="1:34" s="1" customFormat="1" outlineLevel="1" x14ac:dyDescent="0.25">
      <c r="B17" s="802" t="s">
        <v>1217</v>
      </c>
      <c r="C17" s="905">
        <v>1.5</v>
      </c>
      <c r="D17" s="7" t="s">
        <v>1218</v>
      </c>
      <c r="E17" s="305"/>
      <c r="F17" s="7"/>
      <c r="G17" s="7"/>
      <c r="H17" s="7"/>
      <c r="I17" s="7"/>
      <c r="J17" s="7"/>
      <c r="K17" s="7"/>
      <c r="L17" s="7"/>
    </row>
    <row r="18" spans="1:34" s="1" customFormat="1" outlineLevel="1" x14ac:dyDescent="0.25">
      <c r="B18" s="802" t="s">
        <v>1275</v>
      </c>
      <c r="C18" s="905">
        <v>0.2</v>
      </c>
      <c r="D18" s="7" t="s">
        <v>1220</v>
      </c>
      <c r="E18" s="305"/>
      <c r="F18" s="7"/>
      <c r="G18" s="7"/>
      <c r="H18" s="7"/>
      <c r="I18" s="7"/>
      <c r="J18" s="7"/>
      <c r="K18" s="7"/>
      <c r="L18" s="7"/>
    </row>
    <row r="19" spans="1:34" s="1" customFormat="1" outlineLevel="1" x14ac:dyDescent="0.25">
      <c r="B19" s="802" t="s">
        <v>1222</v>
      </c>
      <c r="C19" s="904">
        <v>0.5</v>
      </c>
      <c r="D19" s="7" t="s">
        <v>1223</v>
      </c>
      <c r="E19" s="305"/>
      <c r="F19" s="7"/>
      <c r="G19" s="7"/>
      <c r="H19" s="7"/>
      <c r="I19" s="7"/>
      <c r="J19" s="7"/>
      <c r="K19" s="7"/>
      <c r="L19" s="7"/>
    </row>
    <row r="20" spans="1:34" s="1" customFormat="1" ht="6.75" customHeight="1" outlineLevel="1" x14ac:dyDescent="0.25">
      <c r="B20" s="7"/>
      <c r="C20" s="7"/>
      <c r="D20" s="7"/>
      <c r="E20" s="7"/>
      <c r="F20" s="7"/>
      <c r="G20" s="7"/>
      <c r="H20" s="7"/>
      <c r="I20" s="7"/>
      <c r="J20" s="7"/>
      <c r="K20" s="7"/>
      <c r="L20" s="7"/>
    </row>
    <row r="21" spans="1:34" s="1" customFormat="1" ht="16.5" customHeight="1" x14ac:dyDescent="0.25">
      <c r="B21" s="6"/>
      <c r="C21" s="6"/>
      <c r="D21" s="7"/>
      <c r="E21" s="7"/>
    </row>
    <row r="22" spans="1:34" x14ac:dyDescent="0.25">
      <c r="A22" s="1"/>
      <c r="B22" s="659" t="s">
        <v>895</v>
      </c>
      <c r="C22" s="659"/>
      <c r="D22" s="659"/>
      <c r="E22" s="659"/>
      <c r="F22" s="659"/>
      <c r="G22" s="659"/>
      <c r="H22" s="659"/>
      <c r="I22" s="659"/>
      <c r="J22" s="659"/>
      <c r="K22" s="659"/>
      <c r="L22" s="659"/>
      <c r="M22" s="1"/>
      <c r="N22" s="1"/>
      <c r="O22" s="1"/>
      <c r="P22" s="1"/>
      <c r="Q22" s="1"/>
      <c r="R22" s="1"/>
      <c r="S22" s="1"/>
      <c r="T22" s="1"/>
      <c r="U22" s="1"/>
      <c r="V22" s="1"/>
      <c r="W22" s="1"/>
      <c r="X22" s="1"/>
      <c r="Y22" s="1"/>
      <c r="Z22" s="1"/>
      <c r="AA22" s="1"/>
      <c r="AB22" s="1"/>
      <c r="AC22" s="1"/>
      <c r="AD22" s="1"/>
      <c r="AE22" s="1"/>
      <c r="AF22" s="1"/>
      <c r="AG22" s="1"/>
      <c r="AH22" s="1"/>
    </row>
    <row r="23" spans="1:34" s="1" customFormat="1" ht="6.75" customHeight="1" outlineLevel="1" x14ac:dyDescent="0.25">
      <c r="B23" s="4"/>
      <c r="C23" s="10"/>
      <c r="D23" s="12"/>
      <c r="E23" s="12"/>
      <c r="F23" s="12"/>
      <c r="G23" s="12"/>
      <c r="H23" s="12"/>
    </row>
    <row r="24" spans="1:34" s="1" customFormat="1" outlineLevel="1" x14ac:dyDescent="0.25">
      <c r="B24" s="13" t="s">
        <v>896</v>
      </c>
      <c r="D24" s="43"/>
      <c r="E24" s="284" t="s">
        <v>897</v>
      </c>
    </row>
    <row r="25" spans="1:34" s="1" customFormat="1" outlineLevel="1" x14ac:dyDescent="0.25">
      <c r="B25" s="660" t="s">
        <v>898</v>
      </c>
      <c r="C25" s="665" t="s">
        <v>899</v>
      </c>
      <c r="D25" s="43"/>
      <c r="E25" s="661"/>
      <c r="F25" s="701" t="s">
        <v>900</v>
      </c>
    </row>
    <row r="26" spans="1:34" s="1" customFormat="1" outlineLevel="1" x14ac:dyDescent="0.25">
      <c r="B26" s="663" t="s">
        <v>398</v>
      </c>
      <c r="C26" s="666">
        <f>SUM(D49:AB49)/25/1000</f>
        <v>0.88</v>
      </c>
      <c r="E26" s="663">
        <v>2030</v>
      </c>
      <c r="F26" s="670">
        <f>H59</f>
        <v>0</v>
      </c>
    </row>
    <row r="27" spans="1:34" s="1" customFormat="1" outlineLevel="1" x14ac:dyDescent="0.25">
      <c r="B27" s="155" t="s">
        <v>399</v>
      </c>
      <c r="C27" s="667">
        <f>C26</f>
        <v>0.88</v>
      </c>
      <c r="E27" s="155">
        <v>2035</v>
      </c>
      <c r="F27" s="428">
        <f>M59</f>
        <v>0</v>
      </c>
    </row>
    <row r="28" spans="1:34" s="1" customFormat="1" outlineLevel="1" x14ac:dyDescent="0.25">
      <c r="B28" s="663" t="s">
        <v>400</v>
      </c>
      <c r="C28" s="666">
        <f>SUM(D51:AB51)/25/1000</f>
        <v>-0.90702942870218828</v>
      </c>
      <c r="E28" s="663">
        <v>2040</v>
      </c>
      <c r="F28" s="670">
        <f>R59</f>
        <v>2368.0786031991702</v>
      </c>
    </row>
    <row r="29" spans="1:34" s="1" customFormat="1" ht="15" customHeight="1" outlineLevel="1" x14ac:dyDescent="0.25">
      <c r="B29" s="155" t="s">
        <v>401</v>
      </c>
      <c r="C29" s="667">
        <f>SUM(D49:AB49)/25/1000</f>
        <v>0.88</v>
      </c>
      <c r="E29" s="155">
        <v>2045</v>
      </c>
      <c r="F29" s="428">
        <f>W59</f>
        <v>1682.9090481460955</v>
      </c>
    </row>
    <row r="30" spans="1:34" s="1" customFormat="1" outlineLevel="1" x14ac:dyDescent="0.25">
      <c r="B30" s="663" t="s">
        <v>901</v>
      </c>
      <c r="C30" s="670">
        <f>MAX(D59:AR59)</f>
        <v>2667.8985016088145</v>
      </c>
      <c r="E30" s="663">
        <v>2050</v>
      </c>
      <c r="F30" s="670">
        <f>AB59</f>
        <v>1082.0054708792436</v>
      </c>
    </row>
    <row r="31" spans="1:34" s="1" customFormat="1" outlineLevel="1" x14ac:dyDescent="0.25">
      <c r="B31" s="155" t="s">
        <v>902</v>
      </c>
      <c r="C31" s="428">
        <f>SUM(D57:AB58)/1000</f>
        <v>169.40422275123296</v>
      </c>
      <c r="D31" s="235"/>
      <c r="E31" s="7"/>
    </row>
    <row r="32" spans="1:34" s="1" customFormat="1" outlineLevel="1" x14ac:dyDescent="0.25">
      <c r="B32" s="663" t="s">
        <v>403</v>
      </c>
      <c r="C32" s="670">
        <f>SUM(D51:AV51)*1000/SUM(D59:AV59)</f>
        <v>-2341.3408077278136</v>
      </c>
      <c r="E32" s="7"/>
    </row>
    <row r="33" spans="1:48" s="1" customFormat="1" ht="9.75" customHeight="1" outlineLevel="1" x14ac:dyDescent="0.25">
      <c r="B33" s="13"/>
      <c r="C33" s="236"/>
    </row>
    <row r="34" spans="1:48" s="1" customFormat="1" outlineLevel="1" x14ac:dyDescent="0.25">
      <c r="A34" s="2"/>
      <c r="B34" s="284" t="s">
        <v>903</v>
      </c>
      <c r="D34" s="43"/>
      <c r="E34" s="7"/>
      <c r="I34" s="277" t="s">
        <v>876</v>
      </c>
    </row>
    <row r="35" spans="1:48" s="1" customFormat="1" ht="16.5" customHeight="1" outlineLevel="1" x14ac:dyDescent="0.25">
      <c r="A35" s="2"/>
      <c r="B35" s="155" t="s">
        <v>904</v>
      </c>
      <c r="C35" s="307" t="s">
        <v>905</v>
      </c>
      <c r="D35" s="261"/>
      <c r="E35" s="12"/>
      <c r="F35" s="12"/>
      <c r="G35" s="12"/>
      <c r="H35" s="12"/>
      <c r="I35" s="311" t="s">
        <v>474</v>
      </c>
      <c r="J35" s="295" t="s">
        <v>906</v>
      </c>
    </row>
    <row r="36" spans="1:48" s="1" customFormat="1" outlineLevel="1" x14ac:dyDescent="0.25">
      <c r="A36" s="2"/>
      <c r="B36" s="155" t="s">
        <v>907</v>
      </c>
      <c r="C36" s="307" t="s">
        <v>910</v>
      </c>
      <c r="D36" s="397">
        <f>IF(C36="Kõrge",3,IF(C36="Mõõdukas",2,1))</f>
        <v>1</v>
      </c>
      <c r="E36" s="12"/>
      <c r="F36" s="12"/>
      <c r="G36" s="12"/>
      <c r="H36" s="12"/>
      <c r="I36" s="312" t="s">
        <v>905</v>
      </c>
      <c r="J36" s="295" t="s">
        <v>908</v>
      </c>
    </row>
    <row r="37" spans="1:48" s="1" customFormat="1" outlineLevel="1" x14ac:dyDescent="0.25">
      <c r="A37" s="2"/>
      <c r="B37" s="155" t="s">
        <v>909</v>
      </c>
      <c r="C37" s="307" t="s">
        <v>910</v>
      </c>
      <c r="D37" s="397">
        <f>IF(C37="Kõrge",3,IF(C37="Mõõdukas",2,1))</f>
        <v>1</v>
      </c>
      <c r="E37" s="12"/>
      <c r="F37" s="12"/>
      <c r="I37" s="313" t="s">
        <v>910</v>
      </c>
      <c r="J37" s="295" t="s">
        <v>911</v>
      </c>
    </row>
    <row r="38" spans="1:48" s="1" customFormat="1" x14ac:dyDescent="0.25">
      <c r="B38" s="7"/>
      <c r="C38" s="399" t="s">
        <v>912</v>
      </c>
      <c r="D38" s="398">
        <f>D37+D36</f>
        <v>2</v>
      </c>
      <c r="E38" s="7"/>
    </row>
    <row r="39" spans="1:48" x14ac:dyDescent="0.25">
      <c r="A39" s="1"/>
      <c r="B39" s="659" t="s">
        <v>913</v>
      </c>
      <c r="C39" s="659"/>
      <c r="D39" s="659"/>
      <c r="E39" s="659"/>
      <c r="F39" s="659"/>
      <c r="G39" s="659"/>
      <c r="H39" s="659"/>
      <c r="I39" s="659"/>
      <c r="J39" s="659"/>
      <c r="K39" s="659"/>
      <c r="L39" s="659"/>
      <c r="M39" s="659"/>
      <c r="N39" s="659"/>
      <c r="O39" s="659"/>
      <c r="P39" s="659"/>
      <c r="Q39" s="659"/>
      <c r="R39" s="659"/>
      <c r="S39" s="659"/>
      <c r="T39" s="659"/>
      <c r="U39" s="659"/>
      <c r="V39" s="659"/>
      <c r="W39" s="659"/>
      <c r="X39" s="659"/>
      <c r="Y39" s="659"/>
      <c r="Z39" s="659"/>
      <c r="AA39" s="659"/>
      <c r="AB39" s="659"/>
      <c r="AC39" s="659"/>
      <c r="AD39" s="659"/>
      <c r="AE39" s="659"/>
      <c r="AF39" s="659"/>
      <c r="AG39" s="659"/>
      <c r="AH39" s="659"/>
      <c r="AI39" s="659"/>
      <c r="AJ39" s="659"/>
      <c r="AK39" s="659"/>
      <c r="AL39" s="659"/>
      <c r="AM39" s="659"/>
      <c r="AN39" s="659"/>
      <c r="AO39" s="659"/>
      <c r="AP39" s="659"/>
      <c r="AQ39" s="659"/>
      <c r="AR39" s="659"/>
      <c r="AS39" s="659"/>
      <c r="AT39" s="659"/>
      <c r="AU39" s="659"/>
      <c r="AV39" s="659"/>
    </row>
    <row r="40" spans="1:48" s="15" customFormat="1" ht="7.5" customHeight="1" outlineLevel="1" x14ac:dyDescent="0.25"/>
    <row r="41" spans="1:48" s="15" customFormat="1" ht="13.5" outlineLevel="1" x14ac:dyDescent="0.25">
      <c r="B41" s="715" t="s">
        <v>914</v>
      </c>
      <c r="C41" s="719"/>
      <c r="D41" s="432">
        <v>2026</v>
      </c>
      <c r="E41" s="432">
        <f>D41+1</f>
        <v>2027</v>
      </c>
      <c r="F41" s="432">
        <f t="shared" ref="F41:AV41" si="2">E41+1</f>
        <v>2028</v>
      </c>
      <c r="G41" s="432">
        <f t="shared" si="2"/>
        <v>2029</v>
      </c>
      <c r="H41" s="432">
        <f t="shared" si="2"/>
        <v>2030</v>
      </c>
      <c r="I41" s="432">
        <f t="shared" si="2"/>
        <v>2031</v>
      </c>
      <c r="J41" s="432">
        <f t="shared" si="2"/>
        <v>2032</v>
      </c>
      <c r="K41" s="432">
        <f t="shared" si="2"/>
        <v>2033</v>
      </c>
      <c r="L41" s="432">
        <f t="shared" si="2"/>
        <v>2034</v>
      </c>
      <c r="M41" s="432">
        <f t="shared" si="2"/>
        <v>2035</v>
      </c>
      <c r="N41" s="432">
        <f>M41+1</f>
        <v>2036</v>
      </c>
      <c r="O41" s="432">
        <f t="shared" si="2"/>
        <v>2037</v>
      </c>
      <c r="P41" s="432">
        <f t="shared" si="2"/>
        <v>2038</v>
      </c>
      <c r="Q41" s="432">
        <f t="shared" si="2"/>
        <v>2039</v>
      </c>
      <c r="R41" s="432">
        <f t="shared" si="2"/>
        <v>2040</v>
      </c>
      <c r="S41" s="432">
        <f>R41+1</f>
        <v>2041</v>
      </c>
      <c r="T41" s="432">
        <f>S41+1</f>
        <v>2042</v>
      </c>
      <c r="U41" s="432">
        <f>T41+1</f>
        <v>2043</v>
      </c>
      <c r="V41" s="432">
        <f t="shared" si="2"/>
        <v>2044</v>
      </c>
      <c r="W41" s="432">
        <f t="shared" si="2"/>
        <v>2045</v>
      </c>
      <c r="X41" s="432">
        <f t="shared" si="2"/>
        <v>2046</v>
      </c>
      <c r="Y41" s="432">
        <f t="shared" si="2"/>
        <v>2047</v>
      </c>
      <c r="Z41" s="432">
        <f t="shared" si="2"/>
        <v>2048</v>
      </c>
      <c r="AA41" s="432">
        <f t="shared" si="2"/>
        <v>2049</v>
      </c>
      <c r="AB41" s="432">
        <f t="shared" si="2"/>
        <v>2050</v>
      </c>
      <c r="AC41" s="432">
        <f t="shared" si="2"/>
        <v>2051</v>
      </c>
      <c r="AD41" s="432">
        <f t="shared" si="2"/>
        <v>2052</v>
      </c>
      <c r="AE41" s="432">
        <f t="shared" si="2"/>
        <v>2053</v>
      </c>
      <c r="AF41" s="432">
        <f t="shared" si="2"/>
        <v>2054</v>
      </c>
      <c r="AG41" s="432">
        <f t="shared" si="2"/>
        <v>2055</v>
      </c>
      <c r="AH41" s="432">
        <f t="shared" si="2"/>
        <v>2056</v>
      </c>
      <c r="AI41" s="432">
        <f t="shared" si="2"/>
        <v>2057</v>
      </c>
      <c r="AJ41" s="432">
        <f t="shared" si="2"/>
        <v>2058</v>
      </c>
      <c r="AK41" s="432">
        <f t="shared" si="2"/>
        <v>2059</v>
      </c>
      <c r="AL41" s="432">
        <f t="shared" si="2"/>
        <v>2060</v>
      </c>
      <c r="AM41" s="432">
        <f t="shared" si="2"/>
        <v>2061</v>
      </c>
      <c r="AN41" s="432">
        <f t="shared" si="2"/>
        <v>2062</v>
      </c>
      <c r="AO41" s="432">
        <f t="shared" si="2"/>
        <v>2063</v>
      </c>
      <c r="AP41" s="432">
        <f t="shared" si="2"/>
        <v>2064</v>
      </c>
      <c r="AQ41" s="432">
        <f t="shared" si="2"/>
        <v>2065</v>
      </c>
      <c r="AR41" s="432">
        <f t="shared" si="2"/>
        <v>2066</v>
      </c>
      <c r="AS41" s="432">
        <f t="shared" si="2"/>
        <v>2067</v>
      </c>
      <c r="AT41" s="432">
        <f t="shared" si="2"/>
        <v>2068</v>
      </c>
      <c r="AU41" s="432">
        <f t="shared" si="2"/>
        <v>2069</v>
      </c>
      <c r="AV41" s="716">
        <f t="shared" si="2"/>
        <v>2070</v>
      </c>
    </row>
    <row r="42" spans="1:48" s="15" customFormat="1" ht="13.5" outlineLevel="1" x14ac:dyDescent="0.25">
      <c r="B42" s="689" t="s">
        <v>1360</v>
      </c>
      <c r="C42" s="815"/>
      <c r="D42" s="686"/>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686"/>
      <c r="AO42" s="686"/>
      <c r="AP42" s="686"/>
      <c r="AQ42" s="686"/>
      <c r="AR42" s="686"/>
      <c r="AS42" s="686"/>
      <c r="AT42" s="686"/>
      <c r="AU42" s="686"/>
      <c r="AV42" s="687"/>
    </row>
    <row r="43" spans="1:48" s="15" customFormat="1" ht="13.5" outlineLevel="1" x14ac:dyDescent="0.25">
      <c r="B43" s="817" t="s">
        <v>1361</v>
      </c>
      <c r="C43" s="818" t="s">
        <v>1279</v>
      </c>
      <c r="D43" s="675">
        <f t="shared" ref="D43:AV43" si="3">IF(OR(D41&lt;$C$8,D41&gt;$E$8),0,1)</f>
        <v>0</v>
      </c>
      <c r="E43" s="675">
        <f t="shared" si="3"/>
        <v>0</v>
      </c>
      <c r="F43" s="675">
        <f t="shared" si="3"/>
        <v>0</v>
      </c>
      <c r="G43" s="675">
        <f t="shared" si="3"/>
        <v>0</v>
      </c>
      <c r="H43" s="675">
        <f t="shared" si="3"/>
        <v>0</v>
      </c>
      <c r="I43" s="675">
        <f t="shared" si="3"/>
        <v>0</v>
      </c>
      <c r="J43" s="675">
        <f t="shared" si="3"/>
        <v>0</v>
      </c>
      <c r="K43" s="675">
        <f t="shared" si="3"/>
        <v>0</v>
      </c>
      <c r="L43" s="675">
        <f t="shared" si="3"/>
        <v>0</v>
      </c>
      <c r="M43" s="675">
        <f t="shared" si="3"/>
        <v>1</v>
      </c>
      <c r="N43" s="675">
        <f t="shared" si="3"/>
        <v>1</v>
      </c>
      <c r="O43" s="675">
        <f t="shared" si="3"/>
        <v>1</v>
      </c>
      <c r="P43" s="675">
        <f t="shared" si="3"/>
        <v>0</v>
      </c>
      <c r="Q43" s="675">
        <f t="shared" si="3"/>
        <v>0</v>
      </c>
      <c r="R43" s="675">
        <f t="shared" si="3"/>
        <v>0</v>
      </c>
      <c r="S43" s="675">
        <f t="shared" si="3"/>
        <v>0</v>
      </c>
      <c r="T43" s="675">
        <f t="shared" si="3"/>
        <v>0</v>
      </c>
      <c r="U43" s="675">
        <f t="shared" si="3"/>
        <v>0</v>
      </c>
      <c r="V43" s="675">
        <f t="shared" si="3"/>
        <v>0</v>
      </c>
      <c r="W43" s="675">
        <f t="shared" si="3"/>
        <v>0</v>
      </c>
      <c r="X43" s="675">
        <f t="shared" si="3"/>
        <v>0</v>
      </c>
      <c r="Y43" s="675">
        <f t="shared" si="3"/>
        <v>0</v>
      </c>
      <c r="Z43" s="675">
        <f t="shared" si="3"/>
        <v>0</v>
      </c>
      <c r="AA43" s="675">
        <f t="shared" si="3"/>
        <v>0</v>
      </c>
      <c r="AB43" s="675">
        <f t="shared" si="3"/>
        <v>0</v>
      </c>
      <c r="AC43" s="675">
        <f t="shared" si="3"/>
        <v>0</v>
      </c>
      <c r="AD43" s="675">
        <f t="shared" si="3"/>
        <v>0</v>
      </c>
      <c r="AE43" s="675">
        <f t="shared" si="3"/>
        <v>0</v>
      </c>
      <c r="AF43" s="675">
        <f t="shared" si="3"/>
        <v>0</v>
      </c>
      <c r="AG43" s="675">
        <f t="shared" si="3"/>
        <v>0</v>
      </c>
      <c r="AH43" s="675">
        <f t="shared" si="3"/>
        <v>0</v>
      </c>
      <c r="AI43" s="675">
        <f t="shared" si="3"/>
        <v>0</v>
      </c>
      <c r="AJ43" s="675">
        <f t="shared" si="3"/>
        <v>0</v>
      </c>
      <c r="AK43" s="675">
        <f t="shared" si="3"/>
        <v>0</v>
      </c>
      <c r="AL43" s="675">
        <f t="shared" si="3"/>
        <v>0</v>
      </c>
      <c r="AM43" s="675">
        <f t="shared" si="3"/>
        <v>0</v>
      </c>
      <c r="AN43" s="675">
        <f t="shared" si="3"/>
        <v>0</v>
      </c>
      <c r="AO43" s="675">
        <f t="shared" si="3"/>
        <v>0</v>
      </c>
      <c r="AP43" s="675">
        <f t="shared" si="3"/>
        <v>0</v>
      </c>
      <c r="AQ43" s="675">
        <f t="shared" si="3"/>
        <v>0</v>
      </c>
      <c r="AR43" s="675">
        <f t="shared" si="3"/>
        <v>0</v>
      </c>
      <c r="AS43" s="675">
        <f t="shared" si="3"/>
        <v>0</v>
      </c>
      <c r="AT43" s="675">
        <f t="shared" si="3"/>
        <v>0</v>
      </c>
      <c r="AU43" s="675">
        <f t="shared" si="3"/>
        <v>0</v>
      </c>
      <c r="AV43" s="676">
        <f t="shared" si="3"/>
        <v>0</v>
      </c>
    </row>
    <row r="44" spans="1:48" s="15" customFormat="1" ht="13.5" outlineLevel="1" x14ac:dyDescent="0.25">
      <c r="B44" s="817" t="s">
        <v>1362</v>
      </c>
      <c r="C44" s="818" t="s">
        <v>1279</v>
      </c>
      <c r="D44" s="675">
        <f t="shared" ref="D44:AV44" si="4">IF(OR(D41&lt;$C$9,D41&gt;$E$9),0,1)</f>
        <v>0</v>
      </c>
      <c r="E44" s="675">
        <f t="shared" si="4"/>
        <v>0</v>
      </c>
      <c r="F44" s="675">
        <f t="shared" si="4"/>
        <v>0</v>
      </c>
      <c r="G44" s="675">
        <f t="shared" si="4"/>
        <v>0</v>
      </c>
      <c r="H44" s="675">
        <f t="shared" si="4"/>
        <v>0</v>
      </c>
      <c r="I44" s="675">
        <f t="shared" si="4"/>
        <v>0</v>
      </c>
      <c r="J44" s="675">
        <f t="shared" si="4"/>
        <v>0</v>
      </c>
      <c r="K44" s="675">
        <f t="shared" si="4"/>
        <v>0</v>
      </c>
      <c r="L44" s="675">
        <f t="shared" si="4"/>
        <v>0</v>
      </c>
      <c r="M44" s="675">
        <f t="shared" si="4"/>
        <v>1</v>
      </c>
      <c r="N44" s="675">
        <f t="shared" si="4"/>
        <v>1</v>
      </c>
      <c r="O44" s="675">
        <f t="shared" si="4"/>
        <v>1</v>
      </c>
      <c r="P44" s="675">
        <f t="shared" si="4"/>
        <v>0</v>
      </c>
      <c r="Q44" s="675">
        <f t="shared" si="4"/>
        <v>0</v>
      </c>
      <c r="R44" s="675">
        <f t="shared" si="4"/>
        <v>0</v>
      </c>
      <c r="S44" s="675">
        <f t="shared" si="4"/>
        <v>0</v>
      </c>
      <c r="T44" s="675">
        <f t="shared" si="4"/>
        <v>0</v>
      </c>
      <c r="U44" s="675">
        <f t="shared" si="4"/>
        <v>0</v>
      </c>
      <c r="V44" s="675">
        <f t="shared" si="4"/>
        <v>0</v>
      </c>
      <c r="W44" s="675">
        <f t="shared" si="4"/>
        <v>0</v>
      </c>
      <c r="X44" s="675">
        <f t="shared" si="4"/>
        <v>0</v>
      </c>
      <c r="Y44" s="675">
        <f t="shared" si="4"/>
        <v>0</v>
      </c>
      <c r="Z44" s="675">
        <f t="shared" si="4"/>
        <v>0</v>
      </c>
      <c r="AA44" s="675">
        <f t="shared" si="4"/>
        <v>0</v>
      </c>
      <c r="AB44" s="675">
        <f t="shared" si="4"/>
        <v>0</v>
      </c>
      <c r="AC44" s="675">
        <f t="shared" si="4"/>
        <v>0</v>
      </c>
      <c r="AD44" s="675">
        <f t="shared" si="4"/>
        <v>0</v>
      </c>
      <c r="AE44" s="675">
        <f t="shared" si="4"/>
        <v>0</v>
      </c>
      <c r="AF44" s="675">
        <f t="shared" si="4"/>
        <v>0</v>
      </c>
      <c r="AG44" s="675">
        <f t="shared" si="4"/>
        <v>0</v>
      </c>
      <c r="AH44" s="675">
        <f t="shared" si="4"/>
        <v>0</v>
      </c>
      <c r="AI44" s="675">
        <f t="shared" si="4"/>
        <v>0</v>
      </c>
      <c r="AJ44" s="675">
        <f t="shared" si="4"/>
        <v>0</v>
      </c>
      <c r="AK44" s="675">
        <f t="shared" si="4"/>
        <v>0</v>
      </c>
      <c r="AL44" s="675">
        <f t="shared" si="4"/>
        <v>0</v>
      </c>
      <c r="AM44" s="675">
        <f t="shared" si="4"/>
        <v>0</v>
      </c>
      <c r="AN44" s="675">
        <f t="shared" si="4"/>
        <v>0</v>
      </c>
      <c r="AO44" s="675">
        <f t="shared" si="4"/>
        <v>0</v>
      </c>
      <c r="AP44" s="675">
        <f t="shared" si="4"/>
        <v>0</v>
      </c>
      <c r="AQ44" s="675">
        <f t="shared" si="4"/>
        <v>0</v>
      </c>
      <c r="AR44" s="675">
        <f t="shared" si="4"/>
        <v>0</v>
      </c>
      <c r="AS44" s="675">
        <f t="shared" si="4"/>
        <v>0</v>
      </c>
      <c r="AT44" s="675">
        <f t="shared" si="4"/>
        <v>0</v>
      </c>
      <c r="AU44" s="675">
        <f t="shared" si="4"/>
        <v>0</v>
      </c>
      <c r="AV44" s="676">
        <f t="shared" si="4"/>
        <v>0</v>
      </c>
    </row>
    <row r="45" spans="1:48" s="15" customFormat="1" ht="13.5" outlineLevel="1" x14ac:dyDescent="0.25">
      <c r="B45" s="817" t="s">
        <v>1363</v>
      </c>
      <c r="C45" s="818" t="s">
        <v>1279</v>
      </c>
      <c r="D45" s="675">
        <f t="shared" ref="D45:AV45" si="5">IF(OR(D41&lt;$C$10,D41&gt;$E$10),0,1)</f>
        <v>0</v>
      </c>
      <c r="E45" s="675">
        <f t="shared" si="5"/>
        <v>0</v>
      </c>
      <c r="F45" s="675">
        <f t="shared" si="5"/>
        <v>0</v>
      </c>
      <c r="G45" s="675">
        <f t="shared" si="5"/>
        <v>0</v>
      </c>
      <c r="H45" s="675">
        <f t="shared" si="5"/>
        <v>0</v>
      </c>
      <c r="I45" s="675">
        <f t="shared" si="5"/>
        <v>0</v>
      </c>
      <c r="J45" s="675">
        <f t="shared" si="5"/>
        <v>0</v>
      </c>
      <c r="K45" s="675">
        <f t="shared" si="5"/>
        <v>0</v>
      </c>
      <c r="L45" s="675">
        <f t="shared" si="5"/>
        <v>0</v>
      </c>
      <c r="M45" s="675">
        <f t="shared" si="5"/>
        <v>1</v>
      </c>
      <c r="N45" s="675">
        <f t="shared" si="5"/>
        <v>1</v>
      </c>
      <c r="O45" s="675">
        <f t="shared" si="5"/>
        <v>1</v>
      </c>
      <c r="P45" s="675">
        <f t="shared" si="5"/>
        <v>0</v>
      </c>
      <c r="Q45" s="675">
        <f t="shared" si="5"/>
        <v>0</v>
      </c>
      <c r="R45" s="675">
        <f t="shared" si="5"/>
        <v>0</v>
      </c>
      <c r="S45" s="675">
        <f t="shared" si="5"/>
        <v>0</v>
      </c>
      <c r="T45" s="675">
        <f t="shared" si="5"/>
        <v>0</v>
      </c>
      <c r="U45" s="675">
        <f t="shared" si="5"/>
        <v>0</v>
      </c>
      <c r="V45" s="675">
        <f t="shared" si="5"/>
        <v>0</v>
      </c>
      <c r="W45" s="675">
        <f t="shared" si="5"/>
        <v>0</v>
      </c>
      <c r="X45" s="675">
        <f t="shared" si="5"/>
        <v>0</v>
      </c>
      <c r="Y45" s="675">
        <f t="shared" si="5"/>
        <v>0</v>
      </c>
      <c r="Z45" s="675">
        <f t="shared" si="5"/>
        <v>0</v>
      </c>
      <c r="AA45" s="675">
        <f t="shared" si="5"/>
        <v>0</v>
      </c>
      <c r="AB45" s="675">
        <f t="shared" si="5"/>
        <v>0</v>
      </c>
      <c r="AC45" s="675">
        <f t="shared" si="5"/>
        <v>0</v>
      </c>
      <c r="AD45" s="675">
        <f t="shared" si="5"/>
        <v>0</v>
      </c>
      <c r="AE45" s="675">
        <f t="shared" si="5"/>
        <v>0</v>
      </c>
      <c r="AF45" s="675">
        <f t="shared" si="5"/>
        <v>0</v>
      </c>
      <c r="AG45" s="675">
        <f t="shared" si="5"/>
        <v>0</v>
      </c>
      <c r="AH45" s="675">
        <f t="shared" si="5"/>
        <v>0</v>
      </c>
      <c r="AI45" s="675">
        <f t="shared" si="5"/>
        <v>0</v>
      </c>
      <c r="AJ45" s="675">
        <f t="shared" si="5"/>
        <v>0</v>
      </c>
      <c r="AK45" s="675">
        <f t="shared" si="5"/>
        <v>0</v>
      </c>
      <c r="AL45" s="675">
        <f t="shared" si="5"/>
        <v>0</v>
      </c>
      <c r="AM45" s="675">
        <f t="shared" si="5"/>
        <v>0</v>
      </c>
      <c r="AN45" s="675">
        <f t="shared" si="5"/>
        <v>0</v>
      </c>
      <c r="AO45" s="675">
        <f t="shared" si="5"/>
        <v>0</v>
      </c>
      <c r="AP45" s="675">
        <f t="shared" si="5"/>
        <v>0</v>
      </c>
      <c r="AQ45" s="675">
        <f t="shared" si="5"/>
        <v>0</v>
      </c>
      <c r="AR45" s="675">
        <f t="shared" si="5"/>
        <v>0</v>
      </c>
      <c r="AS45" s="675">
        <f t="shared" si="5"/>
        <v>0</v>
      </c>
      <c r="AT45" s="675">
        <f t="shared" si="5"/>
        <v>0</v>
      </c>
      <c r="AU45" s="675">
        <f t="shared" si="5"/>
        <v>0</v>
      </c>
      <c r="AV45" s="676">
        <f t="shared" si="5"/>
        <v>0</v>
      </c>
    </row>
    <row r="46" spans="1:48" s="15" customFormat="1" ht="13.5" outlineLevel="1" x14ac:dyDescent="0.25">
      <c r="B46" s="817" t="s">
        <v>1364</v>
      </c>
      <c r="C46" s="818" t="s">
        <v>1279</v>
      </c>
      <c r="D46" s="675">
        <f>IF(OR(D41&lt;$C$11,D41&gt;$E$11),0,1)</f>
        <v>0</v>
      </c>
      <c r="E46" s="675">
        <f t="shared" ref="E46:AV46" si="6">IF(OR(E41&lt;$C$11,E41&gt;$E$11),0,1)</f>
        <v>0</v>
      </c>
      <c r="F46" s="675">
        <f t="shared" si="6"/>
        <v>0</v>
      </c>
      <c r="G46" s="675">
        <f t="shared" si="6"/>
        <v>0</v>
      </c>
      <c r="H46" s="675">
        <f t="shared" si="6"/>
        <v>0</v>
      </c>
      <c r="I46" s="675">
        <f t="shared" si="6"/>
        <v>0</v>
      </c>
      <c r="J46" s="675">
        <f t="shared" si="6"/>
        <v>0</v>
      </c>
      <c r="K46" s="675">
        <f t="shared" si="6"/>
        <v>0</v>
      </c>
      <c r="L46" s="675">
        <f t="shared" si="6"/>
        <v>0</v>
      </c>
      <c r="M46" s="675">
        <f t="shared" si="6"/>
        <v>1</v>
      </c>
      <c r="N46" s="675">
        <f t="shared" si="6"/>
        <v>1</v>
      </c>
      <c r="O46" s="675">
        <f t="shared" si="6"/>
        <v>1</v>
      </c>
      <c r="P46" s="675">
        <f t="shared" si="6"/>
        <v>0</v>
      </c>
      <c r="Q46" s="675">
        <f t="shared" si="6"/>
        <v>0</v>
      </c>
      <c r="R46" s="675">
        <f t="shared" si="6"/>
        <v>0</v>
      </c>
      <c r="S46" s="675">
        <f t="shared" si="6"/>
        <v>0</v>
      </c>
      <c r="T46" s="675">
        <f t="shared" si="6"/>
        <v>0</v>
      </c>
      <c r="U46" s="675">
        <f t="shared" si="6"/>
        <v>0</v>
      </c>
      <c r="V46" s="675">
        <f t="shared" si="6"/>
        <v>0</v>
      </c>
      <c r="W46" s="675">
        <f t="shared" si="6"/>
        <v>0</v>
      </c>
      <c r="X46" s="675">
        <f t="shared" si="6"/>
        <v>0</v>
      </c>
      <c r="Y46" s="675">
        <f t="shared" si="6"/>
        <v>0</v>
      </c>
      <c r="Z46" s="675">
        <f t="shared" si="6"/>
        <v>0</v>
      </c>
      <c r="AA46" s="675">
        <f t="shared" si="6"/>
        <v>0</v>
      </c>
      <c r="AB46" s="675">
        <f t="shared" si="6"/>
        <v>0</v>
      </c>
      <c r="AC46" s="675">
        <f t="shared" si="6"/>
        <v>0</v>
      </c>
      <c r="AD46" s="675">
        <f t="shared" si="6"/>
        <v>0</v>
      </c>
      <c r="AE46" s="675">
        <f t="shared" si="6"/>
        <v>0</v>
      </c>
      <c r="AF46" s="675">
        <f t="shared" si="6"/>
        <v>0</v>
      </c>
      <c r="AG46" s="675">
        <f t="shared" si="6"/>
        <v>0</v>
      </c>
      <c r="AH46" s="675">
        <f t="shared" si="6"/>
        <v>0</v>
      </c>
      <c r="AI46" s="675">
        <f t="shared" si="6"/>
        <v>0</v>
      </c>
      <c r="AJ46" s="675">
        <f t="shared" si="6"/>
        <v>0</v>
      </c>
      <c r="AK46" s="675">
        <f t="shared" si="6"/>
        <v>0</v>
      </c>
      <c r="AL46" s="675">
        <f t="shared" si="6"/>
        <v>0</v>
      </c>
      <c r="AM46" s="675">
        <f t="shared" si="6"/>
        <v>0</v>
      </c>
      <c r="AN46" s="675">
        <f t="shared" si="6"/>
        <v>0</v>
      </c>
      <c r="AO46" s="675">
        <f t="shared" si="6"/>
        <v>0</v>
      </c>
      <c r="AP46" s="675">
        <f t="shared" si="6"/>
        <v>0</v>
      </c>
      <c r="AQ46" s="675">
        <f t="shared" si="6"/>
        <v>0</v>
      </c>
      <c r="AR46" s="675">
        <f t="shared" si="6"/>
        <v>0</v>
      </c>
      <c r="AS46" s="675">
        <f t="shared" si="6"/>
        <v>0</v>
      </c>
      <c r="AT46" s="675">
        <f t="shared" si="6"/>
        <v>0</v>
      </c>
      <c r="AU46" s="675">
        <f t="shared" si="6"/>
        <v>0</v>
      </c>
      <c r="AV46" s="676">
        <f t="shared" si="6"/>
        <v>0</v>
      </c>
    </row>
    <row r="47" spans="1:48" s="15" customFormat="1" ht="13.5" outlineLevel="1" x14ac:dyDescent="0.25">
      <c r="B47" s="817" t="s">
        <v>1365</v>
      </c>
      <c r="C47" s="818" t="s">
        <v>1279</v>
      </c>
      <c r="D47" s="675">
        <f t="shared" ref="D47:AV47" si="7">IF(OR(D41&lt;$C$12,D41&gt;$E$12),0,1)</f>
        <v>0</v>
      </c>
      <c r="E47" s="675">
        <f t="shared" si="7"/>
        <v>0</v>
      </c>
      <c r="F47" s="675">
        <f t="shared" si="7"/>
        <v>0</v>
      </c>
      <c r="G47" s="675">
        <f t="shared" si="7"/>
        <v>0</v>
      </c>
      <c r="H47" s="675">
        <f t="shared" si="7"/>
        <v>0</v>
      </c>
      <c r="I47" s="675">
        <f t="shared" si="7"/>
        <v>0</v>
      </c>
      <c r="J47" s="675">
        <f t="shared" si="7"/>
        <v>0</v>
      </c>
      <c r="K47" s="675">
        <f t="shared" si="7"/>
        <v>0</v>
      </c>
      <c r="L47" s="675">
        <f t="shared" si="7"/>
        <v>0</v>
      </c>
      <c r="M47" s="675">
        <f t="shared" si="7"/>
        <v>1</v>
      </c>
      <c r="N47" s="675">
        <f t="shared" si="7"/>
        <v>1</v>
      </c>
      <c r="O47" s="675">
        <f t="shared" si="7"/>
        <v>1</v>
      </c>
      <c r="P47" s="675">
        <f t="shared" si="7"/>
        <v>0</v>
      </c>
      <c r="Q47" s="675">
        <f t="shared" si="7"/>
        <v>0</v>
      </c>
      <c r="R47" s="675">
        <f t="shared" si="7"/>
        <v>0</v>
      </c>
      <c r="S47" s="675">
        <f t="shared" si="7"/>
        <v>0</v>
      </c>
      <c r="T47" s="675">
        <f t="shared" si="7"/>
        <v>0</v>
      </c>
      <c r="U47" s="675">
        <f t="shared" si="7"/>
        <v>0</v>
      </c>
      <c r="V47" s="675">
        <f t="shared" si="7"/>
        <v>0</v>
      </c>
      <c r="W47" s="675">
        <f t="shared" si="7"/>
        <v>0</v>
      </c>
      <c r="X47" s="675">
        <f t="shared" si="7"/>
        <v>0</v>
      </c>
      <c r="Y47" s="675">
        <f t="shared" si="7"/>
        <v>0</v>
      </c>
      <c r="Z47" s="675">
        <f t="shared" si="7"/>
        <v>0</v>
      </c>
      <c r="AA47" s="675">
        <f t="shared" si="7"/>
        <v>0</v>
      </c>
      <c r="AB47" s="675">
        <f t="shared" si="7"/>
        <v>0</v>
      </c>
      <c r="AC47" s="675">
        <f t="shared" si="7"/>
        <v>0</v>
      </c>
      <c r="AD47" s="675">
        <f t="shared" si="7"/>
        <v>0</v>
      </c>
      <c r="AE47" s="675">
        <f t="shared" si="7"/>
        <v>0</v>
      </c>
      <c r="AF47" s="675">
        <f t="shared" si="7"/>
        <v>0</v>
      </c>
      <c r="AG47" s="675">
        <f t="shared" si="7"/>
        <v>0</v>
      </c>
      <c r="AH47" s="675">
        <f t="shared" si="7"/>
        <v>0</v>
      </c>
      <c r="AI47" s="675">
        <f t="shared" si="7"/>
        <v>0</v>
      </c>
      <c r="AJ47" s="675">
        <f t="shared" si="7"/>
        <v>0</v>
      </c>
      <c r="AK47" s="675">
        <f t="shared" si="7"/>
        <v>0</v>
      </c>
      <c r="AL47" s="675">
        <f t="shared" si="7"/>
        <v>0</v>
      </c>
      <c r="AM47" s="675">
        <f t="shared" si="7"/>
        <v>0</v>
      </c>
      <c r="AN47" s="675">
        <f t="shared" si="7"/>
        <v>0</v>
      </c>
      <c r="AO47" s="675">
        <f t="shared" si="7"/>
        <v>0</v>
      </c>
      <c r="AP47" s="675">
        <f t="shared" si="7"/>
        <v>0</v>
      </c>
      <c r="AQ47" s="675">
        <f t="shared" si="7"/>
        <v>0</v>
      </c>
      <c r="AR47" s="675">
        <f t="shared" si="7"/>
        <v>0</v>
      </c>
      <c r="AS47" s="675">
        <f t="shared" si="7"/>
        <v>0</v>
      </c>
      <c r="AT47" s="675">
        <f t="shared" si="7"/>
        <v>0</v>
      </c>
      <c r="AU47" s="675">
        <f t="shared" si="7"/>
        <v>0</v>
      </c>
      <c r="AV47" s="676">
        <f t="shared" si="7"/>
        <v>0</v>
      </c>
    </row>
    <row r="48" spans="1:48" s="15" customFormat="1" ht="13.5" outlineLevel="1" x14ac:dyDescent="0.25">
      <c r="B48" s="689" t="s">
        <v>1271</v>
      </c>
      <c r="C48" s="815"/>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686"/>
      <c r="AM48" s="686"/>
      <c r="AN48" s="686"/>
      <c r="AO48" s="686"/>
      <c r="AP48" s="686"/>
      <c r="AQ48" s="686"/>
      <c r="AR48" s="686"/>
      <c r="AS48" s="686"/>
      <c r="AT48" s="686"/>
      <c r="AU48" s="686"/>
      <c r="AV48" s="687"/>
    </row>
    <row r="49" spans="2:48" s="15" customFormat="1" ht="13.5" outlineLevel="1" x14ac:dyDescent="0.25">
      <c r="B49" s="671" t="s">
        <v>1345</v>
      </c>
      <c r="C49" s="679" t="s">
        <v>1243</v>
      </c>
      <c r="D49" s="682">
        <f>(D43*$F$8/$D$8+D44*$F$9/$D$9+D45*$F$10/$D$10+D46*$F$11/$D$11+D47*$F$12/$D$12)*1000</f>
        <v>0</v>
      </c>
      <c r="E49" s="682">
        <f t="shared" ref="E49:AV49" si="8">(E43*$F$8/$D$8+E44*$F$9/$D$9+E45*$F$10/$D$10+E46*$F$11/$D$11+E47*$F$12/$D$12)*1000</f>
        <v>0</v>
      </c>
      <c r="F49" s="682">
        <f t="shared" si="8"/>
        <v>0</v>
      </c>
      <c r="G49" s="682">
        <f t="shared" si="8"/>
        <v>0</v>
      </c>
      <c r="H49" s="682">
        <f t="shared" si="8"/>
        <v>0</v>
      </c>
      <c r="I49" s="682">
        <f t="shared" si="8"/>
        <v>0</v>
      </c>
      <c r="J49" s="682">
        <f t="shared" si="8"/>
        <v>0</v>
      </c>
      <c r="K49" s="682">
        <f t="shared" si="8"/>
        <v>0</v>
      </c>
      <c r="L49" s="682">
        <f t="shared" si="8"/>
        <v>0</v>
      </c>
      <c r="M49" s="682">
        <f t="shared" si="8"/>
        <v>7333.3333333333339</v>
      </c>
      <c r="N49" s="682">
        <f t="shared" si="8"/>
        <v>7333.3333333333339</v>
      </c>
      <c r="O49" s="682">
        <f t="shared" si="8"/>
        <v>7333.3333333333339</v>
      </c>
      <c r="P49" s="682">
        <f t="shared" si="8"/>
        <v>0</v>
      </c>
      <c r="Q49" s="682">
        <f t="shared" si="8"/>
        <v>0</v>
      </c>
      <c r="R49" s="682">
        <f t="shared" si="8"/>
        <v>0</v>
      </c>
      <c r="S49" s="682">
        <f t="shared" si="8"/>
        <v>0</v>
      </c>
      <c r="T49" s="682">
        <f t="shared" si="8"/>
        <v>0</v>
      </c>
      <c r="U49" s="682">
        <f t="shared" si="8"/>
        <v>0</v>
      </c>
      <c r="V49" s="682">
        <f t="shared" si="8"/>
        <v>0</v>
      </c>
      <c r="W49" s="682">
        <f t="shared" si="8"/>
        <v>0</v>
      </c>
      <c r="X49" s="682">
        <f t="shared" si="8"/>
        <v>0</v>
      </c>
      <c r="Y49" s="682">
        <f t="shared" si="8"/>
        <v>0</v>
      </c>
      <c r="Z49" s="682">
        <f t="shared" si="8"/>
        <v>0</v>
      </c>
      <c r="AA49" s="682">
        <f t="shared" si="8"/>
        <v>0</v>
      </c>
      <c r="AB49" s="682">
        <f t="shared" si="8"/>
        <v>0</v>
      </c>
      <c r="AC49" s="682">
        <f t="shared" si="8"/>
        <v>0</v>
      </c>
      <c r="AD49" s="682">
        <f t="shared" si="8"/>
        <v>0</v>
      </c>
      <c r="AE49" s="682">
        <f t="shared" si="8"/>
        <v>0</v>
      </c>
      <c r="AF49" s="682">
        <f t="shared" si="8"/>
        <v>0</v>
      </c>
      <c r="AG49" s="682">
        <f t="shared" si="8"/>
        <v>0</v>
      </c>
      <c r="AH49" s="682">
        <f t="shared" si="8"/>
        <v>0</v>
      </c>
      <c r="AI49" s="682">
        <f t="shared" si="8"/>
        <v>0</v>
      </c>
      <c r="AJ49" s="682">
        <f t="shared" si="8"/>
        <v>0</v>
      </c>
      <c r="AK49" s="682">
        <f t="shared" si="8"/>
        <v>0</v>
      </c>
      <c r="AL49" s="682">
        <f t="shared" si="8"/>
        <v>0</v>
      </c>
      <c r="AM49" s="682">
        <f t="shared" si="8"/>
        <v>0</v>
      </c>
      <c r="AN49" s="682">
        <f t="shared" si="8"/>
        <v>0</v>
      </c>
      <c r="AO49" s="682">
        <f t="shared" si="8"/>
        <v>0</v>
      </c>
      <c r="AP49" s="682">
        <f t="shared" si="8"/>
        <v>0</v>
      </c>
      <c r="AQ49" s="682">
        <f t="shared" si="8"/>
        <v>0</v>
      </c>
      <c r="AR49" s="682">
        <f t="shared" si="8"/>
        <v>0</v>
      </c>
      <c r="AS49" s="682">
        <f t="shared" si="8"/>
        <v>0</v>
      </c>
      <c r="AT49" s="682">
        <f t="shared" si="8"/>
        <v>0</v>
      </c>
      <c r="AU49" s="682">
        <f t="shared" si="8"/>
        <v>0</v>
      </c>
      <c r="AV49" s="428">
        <f t="shared" si="8"/>
        <v>0</v>
      </c>
    </row>
    <row r="50" spans="2:48" s="15" customFormat="1" ht="13.5" outlineLevel="1" x14ac:dyDescent="0.25">
      <c r="B50" s="671" t="s">
        <v>1347</v>
      </c>
      <c r="C50" s="679" t="s">
        <v>1243</v>
      </c>
      <c r="D50" s="682">
        <f>-(D56*$C$17+D58*$C$18)*(1+$C$19)</f>
        <v>0</v>
      </c>
      <c r="E50" s="682">
        <f t="shared" ref="E50:AV50" si="9">-(E56*$C$17+E58*$C$18)*(1+$C$19)</f>
        <v>0</v>
      </c>
      <c r="F50" s="682">
        <f t="shared" si="9"/>
        <v>0</v>
      </c>
      <c r="G50" s="682">
        <f t="shared" si="9"/>
        <v>0</v>
      </c>
      <c r="H50" s="682">
        <f t="shared" si="9"/>
        <v>0</v>
      </c>
      <c r="I50" s="682">
        <f t="shared" si="9"/>
        <v>0</v>
      </c>
      <c r="J50" s="682">
        <f t="shared" si="9"/>
        <v>0</v>
      </c>
      <c r="K50" s="682">
        <f t="shared" si="9"/>
        <v>0</v>
      </c>
      <c r="L50" s="682">
        <f t="shared" si="9"/>
        <v>0</v>
      </c>
      <c r="M50" s="682">
        <f t="shared" si="9"/>
        <v>0</v>
      </c>
      <c r="N50" s="682">
        <f t="shared" si="9"/>
        <v>0</v>
      </c>
      <c r="O50" s="682">
        <f t="shared" si="9"/>
        <v>0</v>
      </c>
      <c r="P50" s="682">
        <f t="shared" si="9"/>
        <v>-3888.6201460070379</v>
      </c>
      <c r="Q50" s="682">
        <f t="shared" si="9"/>
        <v>-3803.1488354930207</v>
      </c>
      <c r="R50" s="682">
        <f t="shared" si="9"/>
        <v>-3720.5920033375</v>
      </c>
      <c r="S50" s="682">
        <f t="shared" si="9"/>
        <v>-3640.8872575477453</v>
      </c>
      <c r="T50" s="682">
        <f t="shared" si="9"/>
        <v>-3563.973405083012</v>
      </c>
      <c r="U50" s="682">
        <f t="shared" si="9"/>
        <v>-3489.7904295698841</v>
      </c>
      <c r="V50" s="682">
        <f t="shared" si="9"/>
        <v>-3418.2794694270888</v>
      </c>
      <c r="W50" s="682">
        <f t="shared" si="9"/>
        <v>-3349.3827963922699</v>
      </c>
      <c r="X50" s="682">
        <f t="shared" si="9"/>
        <v>-3283.0437944433797</v>
      </c>
      <c r="Y50" s="682">
        <f t="shared" si="9"/>
        <v>-3219.2069391074519</v>
      </c>
      <c r="Z50" s="682">
        <f t="shared" si="9"/>
        <v>-3157.8177771496685</v>
      </c>
      <c r="AA50" s="682">
        <f t="shared" si="9"/>
        <v>-3098.8229066357603</v>
      </c>
      <c r="AB50" s="682">
        <f t="shared" si="9"/>
        <v>-3042.1699573608926</v>
      </c>
      <c r="AC50" s="682">
        <f t="shared" si="9"/>
        <v>-3015.3891646192296</v>
      </c>
      <c r="AD50" s="682">
        <f t="shared" si="9"/>
        <v>-2988.6124218719301</v>
      </c>
      <c r="AE50" s="682">
        <f t="shared" si="9"/>
        <v>-2961.8392878862646</v>
      </c>
      <c r="AF50" s="682">
        <f t="shared" si="9"/>
        <v>-2935.0693255032402</v>
      </c>
      <c r="AG50" s="682">
        <f t="shared" si="9"/>
        <v>-2908.3021016093148</v>
      </c>
      <c r="AH50" s="682">
        <f t="shared" si="9"/>
        <v>-2881.5371871082698</v>
      </c>
      <c r="AI50" s="682">
        <f t="shared" si="9"/>
        <v>-2854.7741568932724</v>
      </c>
      <c r="AJ50" s="682">
        <f t="shared" si="9"/>
        <v>-2828.0125898191091</v>
      </c>
      <c r="AK50" s="682">
        <f t="shared" si="9"/>
        <v>-2801.252068674582</v>
      </c>
      <c r="AL50" s="682">
        <f t="shared" si="9"/>
        <v>-2774.4921801550959</v>
      </c>
      <c r="AM50" s="682">
        <f t="shared" si="9"/>
        <v>-2747.732514835403</v>
      </c>
      <c r="AN50" s="682">
        <f t="shared" si="9"/>
        <v>-2720.9726671425183</v>
      </c>
      <c r="AO50" s="682">
        <f t="shared" si="9"/>
        <v>-2694.2122353288114</v>
      </c>
      <c r="AP50" s="682">
        <f t="shared" si="9"/>
        <v>-2667.450821445264</v>
      </c>
      <c r="AQ50" s="682">
        <f t="shared" si="9"/>
        <v>-2640.6880313148868</v>
      </c>
      <c r="AR50" s="682">
        <f t="shared" si="9"/>
        <v>-2613.923474506315</v>
      </c>
      <c r="AS50" s="682">
        <f t="shared" si="9"/>
        <v>-2587.1567643075596</v>
      </c>
      <c r="AT50" s="682">
        <f t="shared" si="9"/>
        <v>-2560.3875176999313</v>
      </c>
      <c r="AU50" s="682">
        <f t="shared" si="9"/>
        <v>-2533.615355332116</v>
      </c>
      <c r="AV50" s="428">
        <f t="shared" si="9"/>
        <v>-2506.839901494423</v>
      </c>
    </row>
    <row r="51" spans="2:48" s="39" customFormat="1" ht="13.5" outlineLevel="1" x14ac:dyDescent="0.25">
      <c r="B51" s="689" t="s">
        <v>1114</v>
      </c>
      <c r="C51" s="693" t="s">
        <v>1243</v>
      </c>
      <c r="D51" s="710">
        <f>D49+D50</f>
        <v>0</v>
      </c>
      <c r="E51" s="710">
        <f t="shared" ref="E51:AV51" si="10">E49+E50</f>
        <v>0</v>
      </c>
      <c r="F51" s="710">
        <f t="shared" si="10"/>
        <v>0</v>
      </c>
      <c r="G51" s="710">
        <f t="shared" si="10"/>
        <v>0</v>
      </c>
      <c r="H51" s="710">
        <f t="shared" si="10"/>
        <v>0</v>
      </c>
      <c r="I51" s="710">
        <f t="shared" si="10"/>
        <v>0</v>
      </c>
      <c r="J51" s="710">
        <f t="shared" si="10"/>
        <v>0</v>
      </c>
      <c r="K51" s="710">
        <f t="shared" si="10"/>
        <v>0</v>
      </c>
      <c r="L51" s="710">
        <f t="shared" si="10"/>
        <v>0</v>
      </c>
      <c r="M51" s="710">
        <f t="shared" si="10"/>
        <v>7333.3333333333339</v>
      </c>
      <c r="N51" s="710">
        <f t="shared" si="10"/>
        <v>7333.3333333333339</v>
      </c>
      <c r="O51" s="710">
        <f t="shared" si="10"/>
        <v>7333.3333333333339</v>
      </c>
      <c r="P51" s="710">
        <f t="shared" si="10"/>
        <v>-3888.6201460070379</v>
      </c>
      <c r="Q51" s="710">
        <f t="shared" si="10"/>
        <v>-3803.1488354930207</v>
      </c>
      <c r="R51" s="710">
        <f t="shared" si="10"/>
        <v>-3720.5920033375</v>
      </c>
      <c r="S51" s="710">
        <f t="shared" si="10"/>
        <v>-3640.8872575477453</v>
      </c>
      <c r="T51" s="710">
        <f t="shared" si="10"/>
        <v>-3563.973405083012</v>
      </c>
      <c r="U51" s="710">
        <f t="shared" si="10"/>
        <v>-3489.7904295698841</v>
      </c>
      <c r="V51" s="710">
        <f t="shared" si="10"/>
        <v>-3418.2794694270888</v>
      </c>
      <c r="W51" s="710">
        <f t="shared" si="10"/>
        <v>-3349.3827963922699</v>
      </c>
      <c r="X51" s="710">
        <f t="shared" si="10"/>
        <v>-3283.0437944433797</v>
      </c>
      <c r="Y51" s="710">
        <f t="shared" si="10"/>
        <v>-3219.2069391074519</v>
      </c>
      <c r="Z51" s="710">
        <f t="shared" si="10"/>
        <v>-3157.8177771496685</v>
      </c>
      <c r="AA51" s="710">
        <f t="shared" si="10"/>
        <v>-3098.8229066357603</v>
      </c>
      <c r="AB51" s="710">
        <f t="shared" si="10"/>
        <v>-3042.1699573608926</v>
      </c>
      <c r="AC51" s="710">
        <f t="shared" si="10"/>
        <v>-3015.3891646192296</v>
      </c>
      <c r="AD51" s="710">
        <f t="shared" si="10"/>
        <v>-2988.6124218719301</v>
      </c>
      <c r="AE51" s="710">
        <f t="shared" si="10"/>
        <v>-2961.8392878862646</v>
      </c>
      <c r="AF51" s="710">
        <f t="shared" si="10"/>
        <v>-2935.0693255032402</v>
      </c>
      <c r="AG51" s="710">
        <f t="shared" si="10"/>
        <v>-2908.3021016093148</v>
      </c>
      <c r="AH51" s="710">
        <f t="shared" si="10"/>
        <v>-2881.5371871082698</v>
      </c>
      <c r="AI51" s="710">
        <f t="shared" si="10"/>
        <v>-2854.7741568932724</v>
      </c>
      <c r="AJ51" s="710">
        <f t="shared" si="10"/>
        <v>-2828.0125898191091</v>
      </c>
      <c r="AK51" s="710">
        <f t="shared" si="10"/>
        <v>-2801.252068674582</v>
      </c>
      <c r="AL51" s="710">
        <f t="shared" si="10"/>
        <v>-2774.4921801550959</v>
      </c>
      <c r="AM51" s="710">
        <f t="shared" si="10"/>
        <v>-2747.732514835403</v>
      </c>
      <c r="AN51" s="710">
        <f t="shared" si="10"/>
        <v>-2720.9726671425183</v>
      </c>
      <c r="AO51" s="710">
        <f t="shared" si="10"/>
        <v>-2694.2122353288114</v>
      </c>
      <c r="AP51" s="710">
        <f t="shared" si="10"/>
        <v>-2667.450821445264</v>
      </c>
      <c r="AQ51" s="710">
        <f t="shared" si="10"/>
        <v>-2640.6880313148868</v>
      </c>
      <c r="AR51" s="710">
        <f t="shared" si="10"/>
        <v>-2613.923474506315</v>
      </c>
      <c r="AS51" s="710">
        <f t="shared" si="10"/>
        <v>-2587.1567643075596</v>
      </c>
      <c r="AT51" s="710">
        <f t="shared" si="10"/>
        <v>-2560.3875176999313</v>
      </c>
      <c r="AU51" s="710">
        <f t="shared" si="10"/>
        <v>-2533.615355332116</v>
      </c>
      <c r="AV51" s="426">
        <f t="shared" si="10"/>
        <v>-2506.839901494423</v>
      </c>
    </row>
    <row r="52" spans="2:48" s="15" customFormat="1" ht="13.5" outlineLevel="1" x14ac:dyDescent="0.25">
      <c r="B52" s="671" t="s">
        <v>1348</v>
      </c>
      <c r="C52" s="679" t="s">
        <v>639</v>
      </c>
      <c r="D52" s="834">
        <f>IF(D41&gt;$E$8,$G$8,0)+IF(D41&gt;$E$9,$G$9,0)+IF(D41&gt;$E$10,$G$10,0)+IF(D41&gt;$E$11,$G$11,0)+IF(D41&gt;$E$12,$G$12,0)</f>
        <v>0</v>
      </c>
      <c r="E52" s="834">
        <f t="shared" ref="E52:AV52" si="11">IF(E41&gt;$E$8,$G$8,0)+IF(E41&gt;$E$9,$G$9,0)+IF(E41&gt;$E$10,$G$10,0)+IF(E41&gt;$E$11,$G$11,0)+IF(E41&gt;$E$12,$G$12,0)</f>
        <v>0</v>
      </c>
      <c r="F52" s="834">
        <f t="shared" si="11"/>
        <v>0</v>
      </c>
      <c r="G52" s="834">
        <f t="shared" si="11"/>
        <v>0</v>
      </c>
      <c r="H52" s="834">
        <f t="shared" si="11"/>
        <v>0</v>
      </c>
      <c r="I52" s="834">
        <f t="shared" si="11"/>
        <v>0</v>
      </c>
      <c r="J52" s="834">
        <f t="shared" si="11"/>
        <v>0</v>
      </c>
      <c r="K52" s="834">
        <f t="shared" si="11"/>
        <v>0</v>
      </c>
      <c r="L52" s="834">
        <f t="shared" si="11"/>
        <v>0</v>
      </c>
      <c r="M52" s="834">
        <f t="shared" si="11"/>
        <v>0</v>
      </c>
      <c r="N52" s="834">
        <f t="shared" si="11"/>
        <v>0</v>
      </c>
      <c r="O52" s="834">
        <f t="shared" si="11"/>
        <v>0</v>
      </c>
      <c r="P52" s="834">
        <f t="shared" si="11"/>
        <v>0.13</v>
      </c>
      <c r="Q52" s="834">
        <f t="shared" si="11"/>
        <v>0.13</v>
      </c>
      <c r="R52" s="834">
        <f t="shared" si="11"/>
        <v>0.13</v>
      </c>
      <c r="S52" s="834">
        <f t="shared" si="11"/>
        <v>0.13</v>
      </c>
      <c r="T52" s="834">
        <f t="shared" si="11"/>
        <v>0.13</v>
      </c>
      <c r="U52" s="834">
        <f t="shared" si="11"/>
        <v>0.13</v>
      </c>
      <c r="V52" s="834">
        <f t="shared" si="11"/>
        <v>0.13</v>
      </c>
      <c r="W52" s="834">
        <f t="shared" si="11"/>
        <v>0.13</v>
      </c>
      <c r="X52" s="834">
        <f t="shared" si="11"/>
        <v>0.13</v>
      </c>
      <c r="Y52" s="834">
        <f t="shared" si="11"/>
        <v>0.13</v>
      </c>
      <c r="Z52" s="834">
        <f t="shared" si="11"/>
        <v>0.13</v>
      </c>
      <c r="AA52" s="834">
        <f t="shared" si="11"/>
        <v>0.13</v>
      </c>
      <c r="AB52" s="834">
        <f t="shared" si="11"/>
        <v>0.13</v>
      </c>
      <c r="AC52" s="834">
        <f t="shared" si="11"/>
        <v>0.13</v>
      </c>
      <c r="AD52" s="834">
        <f t="shared" si="11"/>
        <v>0.13</v>
      </c>
      <c r="AE52" s="834">
        <f t="shared" si="11"/>
        <v>0.13</v>
      </c>
      <c r="AF52" s="834">
        <f t="shared" si="11"/>
        <v>0.13</v>
      </c>
      <c r="AG52" s="834">
        <f t="shared" si="11"/>
        <v>0.13</v>
      </c>
      <c r="AH52" s="834">
        <f t="shared" si="11"/>
        <v>0.13</v>
      </c>
      <c r="AI52" s="834">
        <f t="shared" si="11"/>
        <v>0.13</v>
      </c>
      <c r="AJ52" s="834">
        <f t="shared" si="11"/>
        <v>0.13</v>
      </c>
      <c r="AK52" s="834">
        <f t="shared" si="11"/>
        <v>0.13</v>
      </c>
      <c r="AL52" s="834">
        <f t="shared" si="11"/>
        <v>0.13</v>
      </c>
      <c r="AM52" s="834">
        <f t="shared" si="11"/>
        <v>0.13</v>
      </c>
      <c r="AN52" s="834">
        <f t="shared" si="11"/>
        <v>0.13</v>
      </c>
      <c r="AO52" s="834">
        <f t="shared" si="11"/>
        <v>0.13</v>
      </c>
      <c r="AP52" s="834">
        <f t="shared" si="11"/>
        <v>0.13</v>
      </c>
      <c r="AQ52" s="834">
        <f t="shared" si="11"/>
        <v>0.13</v>
      </c>
      <c r="AR52" s="834">
        <f t="shared" si="11"/>
        <v>0.13</v>
      </c>
      <c r="AS52" s="834">
        <f t="shared" si="11"/>
        <v>0.13</v>
      </c>
      <c r="AT52" s="834">
        <f t="shared" si="11"/>
        <v>0.13</v>
      </c>
      <c r="AU52" s="834">
        <f t="shared" si="11"/>
        <v>0.13</v>
      </c>
      <c r="AV52" s="835">
        <f t="shared" si="11"/>
        <v>0.13</v>
      </c>
    </row>
    <row r="53" spans="2:48" s="15" customFormat="1" ht="13.5" outlineLevel="1" x14ac:dyDescent="0.25">
      <c r="B53" s="671" t="s">
        <v>1348</v>
      </c>
      <c r="C53" s="679" t="s">
        <v>1283</v>
      </c>
      <c r="D53" s="677">
        <f>SISENDID!$E$274*D52</f>
        <v>0</v>
      </c>
      <c r="E53" s="677">
        <f>SISENDID!$E$274*E52</f>
        <v>0</v>
      </c>
      <c r="F53" s="677">
        <f>SISENDID!$E$274*F52</f>
        <v>0</v>
      </c>
      <c r="G53" s="677">
        <f>SISENDID!$E$274*G52</f>
        <v>0</v>
      </c>
      <c r="H53" s="677">
        <f>SISENDID!$E$274*H52</f>
        <v>0</v>
      </c>
      <c r="I53" s="677">
        <f>SISENDID!$E$274*I52</f>
        <v>0</v>
      </c>
      <c r="J53" s="677">
        <f>SISENDID!$E$274*J52</f>
        <v>0</v>
      </c>
      <c r="K53" s="677">
        <f>SISENDID!$E$274*K52</f>
        <v>0</v>
      </c>
      <c r="L53" s="677">
        <f>SISENDID!$E$274*L52</f>
        <v>0</v>
      </c>
      <c r="M53" s="677">
        <f>SISENDID!$E$274*M52</f>
        <v>0</v>
      </c>
      <c r="N53" s="677">
        <f>SISENDID!$E$274*N52</f>
        <v>0</v>
      </c>
      <c r="O53" s="677">
        <f>SISENDID!$E$274*O52</f>
        <v>0</v>
      </c>
      <c r="P53" s="677">
        <f>SISENDID!$E$274*P52</f>
        <v>16.900000000000002</v>
      </c>
      <c r="Q53" s="677">
        <f>SISENDID!$E$274*Q52</f>
        <v>16.900000000000002</v>
      </c>
      <c r="R53" s="677">
        <f>SISENDID!$E$274*R52</f>
        <v>16.900000000000002</v>
      </c>
      <c r="S53" s="677">
        <f>SISENDID!$E$274*S52</f>
        <v>16.900000000000002</v>
      </c>
      <c r="T53" s="677">
        <f>SISENDID!$E$274*T52</f>
        <v>16.900000000000002</v>
      </c>
      <c r="U53" s="677">
        <f>SISENDID!$E$274*U52</f>
        <v>16.900000000000002</v>
      </c>
      <c r="V53" s="677">
        <f>SISENDID!$E$274*V52</f>
        <v>16.900000000000002</v>
      </c>
      <c r="W53" s="677">
        <f>SISENDID!$E$274*W52</f>
        <v>16.900000000000002</v>
      </c>
      <c r="X53" s="677">
        <f>SISENDID!$E$274*X52</f>
        <v>16.900000000000002</v>
      </c>
      <c r="Y53" s="677">
        <f>SISENDID!$E$274*Y52</f>
        <v>16.900000000000002</v>
      </c>
      <c r="Z53" s="677">
        <f>SISENDID!$E$274*Z52</f>
        <v>16.900000000000002</v>
      </c>
      <c r="AA53" s="677">
        <f>SISENDID!$E$274*AA52</f>
        <v>16.900000000000002</v>
      </c>
      <c r="AB53" s="677">
        <f>SISENDID!$E$274*AB52</f>
        <v>16.900000000000002</v>
      </c>
      <c r="AC53" s="677">
        <f>SISENDID!$E$274*AC52</f>
        <v>16.900000000000002</v>
      </c>
      <c r="AD53" s="677">
        <f>SISENDID!$E$274*AD52</f>
        <v>16.900000000000002</v>
      </c>
      <c r="AE53" s="677">
        <f>SISENDID!$E$274*AE52</f>
        <v>16.900000000000002</v>
      </c>
      <c r="AF53" s="677">
        <f>SISENDID!$E$274*AF52</f>
        <v>16.900000000000002</v>
      </c>
      <c r="AG53" s="677">
        <f>SISENDID!$E$274*AG52</f>
        <v>16.900000000000002</v>
      </c>
      <c r="AH53" s="677">
        <f>SISENDID!$E$274*AH52</f>
        <v>16.900000000000002</v>
      </c>
      <c r="AI53" s="677">
        <f>SISENDID!$E$274*AI52</f>
        <v>16.900000000000002</v>
      </c>
      <c r="AJ53" s="677">
        <f>SISENDID!$E$274*AJ52</f>
        <v>16.900000000000002</v>
      </c>
      <c r="AK53" s="677">
        <f>SISENDID!$E$274*AK52</f>
        <v>16.900000000000002</v>
      </c>
      <c r="AL53" s="677">
        <f>SISENDID!$E$274*AL52</f>
        <v>16.900000000000002</v>
      </c>
      <c r="AM53" s="677">
        <f>SISENDID!$E$274*AM52</f>
        <v>16.900000000000002</v>
      </c>
      <c r="AN53" s="677">
        <f>SISENDID!$E$274*AN52</f>
        <v>16.900000000000002</v>
      </c>
      <c r="AO53" s="677">
        <f>SISENDID!$E$274*AO52</f>
        <v>16.900000000000002</v>
      </c>
      <c r="AP53" s="677">
        <f>SISENDID!$E$274*AP52</f>
        <v>16.900000000000002</v>
      </c>
      <c r="AQ53" s="677">
        <f>SISENDID!$E$274*AQ52</f>
        <v>16.900000000000002</v>
      </c>
      <c r="AR53" s="677">
        <f>SISENDID!$E$274*AR52</f>
        <v>16.900000000000002</v>
      </c>
      <c r="AS53" s="677">
        <f>SISENDID!$E$274*AS52</f>
        <v>16.900000000000002</v>
      </c>
      <c r="AT53" s="677">
        <f>SISENDID!$E$274*AT52</f>
        <v>16.900000000000002</v>
      </c>
      <c r="AU53" s="677">
        <f>SISENDID!$E$274*AU52</f>
        <v>16.900000000000002</v>
      </c>
      <c r="AV53" s="819">
        <f>SISENDID!$E$274*AV52</f>
        <v>16.900000000000002</v>
      </c>
    </row>
    <row r="54" spans="2:48" s="15" customFormat="1" ht="13.5" outlineLevel="1" x14ac:dyDescent="0.25">
      <c r="B54" s="817" t="s">
        <v>1284</v>
      </c>
      <c r="C54" s="679" t="s">
        <v>1283</v>
      </c>
      <c r="D54" s="677">
        <f>D53*$C$14</f>
        <v>0</v>
      </c>
      <c r="E54" s="677">
        <f t="shared" ref="E54:I54" si="12">E53*$C$14</f>
        <v>0</v>
      </c>
      <c r="F54" s="677">
        <f t="shared" si="12"/>
        <v>0</v>
      </c>
      <c r="G54" s="677">
        <f t="shared" si="12"/>
        <v>0</v>
      </c>
      <c r="H54" s="677">
        <f t="shared" si="12"/>
        <v>0</v>
      </c>
      <c r="I54" s="677">
        <f t="shared" si="12"/>
        <v>0</v>
      </c>
      <c r="J54" s="677">
        <f t="shared" ref="J54" si="13">J53*$C$14</f>
        <v>0</v>
      </c>
      <c r="K54" s="677">
        <f t="shared" ref="K54" si="14">K53*$C$14</f>
        <v>0</v>
      </c>
      <c r="L54" s="677">
        <f t="shared" ref="L54" si="15">L53*$C$14</f>
        <v>0</v>
      </c>
      <c r="M54" s="677">
        <f t="shared" ref="M54" si="16">M53*$C$14</f>
        <v>0</v>
      </c>
      <c r="N54" s="677">
        <f t="shared" ref="N54" si="17">N53*$C$14</f>
        <v>0</v>
      </c>
      <c r="O54" s="677">
        <f t="shared" ref="O54" si="18">O53*$C$14</f>
        <v>0</v>
      </c>
      <c r="P54" s="677">
        <f t="shared" ref="P54" si="19">P53*$C$14</f>
        <v>12.675000000000001</v>
      </c>
      <c r="Q54" s="677">
        <f t="shared" ref="Q54" si="20">Q53*$C$14</f>
        <v>12.675000000000001</v>
      </c>
      <c r="R54" s="677">
        <f t="shared" ref="R54" si="21">R53*$C$14</f>
        <v>12.675000000000001</v>
      </c>
      <c r="S54" s="677">
        <f t="shared" ref="S54" si="22">S53*$C$14</f>
        <v>12.675000000000001</v>
      </c>
      <c r="T54" s="677">
        <f t="shared" ref="T54" si="23">T53*$C$14</f>
        <v>12.675000000000001</v>
      </c>
      <c r="U54" s="677">
        <f t="shared" ref="U54" si="24">U53*$C$14</f>
        <v>12.675000000000001</v>
      </c>
      <c r="V54" s="677">
        <f t="shared" ref="V54" si="25">V53*$C$14</f>
        <v>12.675000000000001</v>
      </c>
      <c r="W54" s="677">
        <f t="shared" ref="W54" si="26">W53*$C$14</f>
        <v>12.675000000000001</v>
      </c>
      <c r="X54" s="677">
        <f t="shared" ref="X54" si="27">X53*$C$14</f>
        <v>12.675000000000001</v>
      </c>
      <c r="Y54" s="677">
        <f t="shared" ref="Y54" si="28">Y53*$C$14</f>
        <v>12.675000000000001</v>
      </c>
      <c r="Z54" s="677">
        <f t="shared" ref="Z54" si="29">Z53*$C$14</f>
        <v>12.675000000000001</v>
      </c>
      <c r="AA54" s="677">
        <f t="shared" ref="AA54" si="30">AA53*$C$14</f>
        <v>12.675000000000001</v>
      </c>
      <c r="AB54" s="677">
        <f t="shared" ref="AB54" si="31">AB53*$C$14</f>
        <v>12.675000000000001</v>
      </c>
      <c r="AC54" s="677">
        <f t="shared" ref="AC54" si="32">AC53*$C$14</f>
        <v>12.675000000000001</v>
      </c>
      <c r="AD54" s="677">
        <f t="shared" ref="AD54" si="33">AD53*$C$14</f>
        <v>12.675000000000001</v>
      </c>
      <c r="AE54" s="677">
        <f t="shared" ref="AE54" si="34">AE53*$C$14</f>
        <v>12.675000000000001</v>
      </c>
      <c r="AF54" s="677">
        <f t="shared" ref="AF54" si="35">AF53*$C$14</f>
        <v>12.675000000000001</v>
      </c>
      <c r="AG54" s="677">
        <f t="shared" ref="AG54" si="36">AG53*$C$14</f>
        <v>12.675000000000001</v>
      </c>
      <c r="AH54" s="677">
        <f t="shared" ref="AH54" si="37">AH53*$C$14</f>
        <v>12.675000000000001</v>
      </c>
      <c r="AI54" s="677">
        <f t="shared" ref="AI54" si="38">AI53*$C$14</f>
        <v>12.675000000000001</v>
      </c>
      <c r="AJ54" s="677">
        <f t="shared" ref="AJ54" si="39">AJ53*$C$14</f>
        <v>12.675000000000001</v>
      </c>
      <c r="AK54" s="677">
        <f t="shared" ref="AK54" si="40">AK53*$C$14</f>
        <v>12.675000000000001</v>
      </c>
      <c r="AL54" s="677">
        <f t="shared" ref="AL54" si="41">AL53*$C$14</f>
        <v>12.675000000000001</v>
      </c>
      <c r="AM54" s="677">
        <f t="shared" ref="AM54" si="42">AM53*$C$14</f>
        <v>12.675000000000001</v>
      </c>
      <c r="AN54" s="677">
        <f t="shared" ref="AN54" si="43">AN53*$C$14</f>
        <v>12.675000000000001</v>
      </c>
      <c r="AO54" s="677">
        <f t="shared" ref="AO54" si="44">AO53*$C$14</f>
        <v>12.675000000000001</v>
      </c>
      <c r="AP54" s="677">
        <f t="shared" ref="AP54" si="45">AP53*$C$14</f>
        <v>12.675000000000001</v>
      </c>
      <c r="AQ54" s="677">
        <f t="shared" ref="AQ54" si="46">AQ53*$C$14</f>
        <v>12.675000000000001</v>
      </c>
      <c r="AR54" s="677">
        <f t="shared" ref="AR54" si="47">AR53*$C$14</f>
        <v>12.675000000000001</v>
      </c>
      <c r="AS54" s="677">
        <f t="shared" ref="AS54" si="48">AS53*$C$14</f>
        <v>12.675000000000001</v>
      </c>
      <c r="AT54" s="677">
        <f t="shared" ref="AT54" si="49">AT53*$C$14</f>
        <v>12.675000000000001</v>
      </c>
      <c r="AU54" s="677">
        <f t="shared" ref="AU54" si="50">AU53*$C$14</f>
        <v>12.675000000000001</v>
      </c>
      <c r="AV54" s="819">
        <f t="shared" ref="AV54" si="51">AV53*$C$14</f>
        <v>12.675000000000001</v>
      </c>
    </row>
    <row r="55" spans="2:48" s="15" customFormat="1" ht="13.5" outlineLevel="1" x14ac:dyDescent="0.25">
      <c r="B55" s="817" t="s">
        <v>1284</v>
      </c>
      <c r="C55" s="818" t="s">
        <v>657</v>
      </c>
      <c r="D55" s="675">
        <f>D54*1000/$C$16*$C$15</f>
        <v>0</v>
      </c>
      <c r="E55" s="675">
        <f t="shared" ref="E55:I55" si="52">E54*1000/$C$16*$C$15</f>
        <v>0</v>
      </c>
      <c r="F55" s="675">
        <f t="shared" si="52"/>
        <v>0</v>
      </c>
      <c r="G55" s="675">
        <f t="shared" si="52"/>
        <v>0</v>
      </c>
      <c r="H55" s="675">
        <f t="shared" si="52"/>
        <v>0</v>
      </c>
      <c r="I55" s="675">
        <f t="shared" si="52"/>
        <v>0</v>
      </c>
      <c r="J55" s="675">
        <f t="shared" ref="J55" si="53">J54*1000/$C$16*$C$15</f>
        <v>0</v>
      </c>
      <c r="K55" s="675">
        <f t="shared" ref="K55" si="54">K54*1000/$C$16*$C$15</f>
        <v>0</v>
      </c>
      <c r="L55" s="675">
        <f t="shared" ref="L55" si="55">L54*1000/$C$16*$C$15</f>
        <v>0</v>
      </c>
      <c r="M55" s="675">
        <f t="shared" ref="M55" si="56">M54*1000/$C$16*$C$15</f>
        <v>0</v>
      </c>
      <c r="N55" s="675">
        <f t="shared" ref="N55" si="57">N54*1000/$C$16*$C$15</f>
        <v>0</v>
      </c>
      <c r="O55" s="675">
        <f t="shared" ref="O55" si="58">O54*1000/$C$16*$C$15</f>
        <v>0</v>
      </c>
      <c r="P55" s="675">
        <f t="shared" ref="P55" si="59">P54*1000/$C$16*$C$15</f>
        <v>45267.857142857145</v>
      </c>
      <c r="Q55" s="675">
        <f t="shared" ref="Q55" si="60">Q54*1000/$C$16*$C$15</f>
        <v>45267.857142857145</v>
      </c>
      <c r="R55" s="675">
        <f t="shared" ref="R55" si="61">R54*1000/$C$16*$C$15</f>
        <v>45267.857142857145</v>
      </c>
      <c r="S55" s="675">
        <f t="shared" ref="S55" si="62">S54*1000/$C$16*$C$15</f>
        <v>45267.857142857145</v>
      </c>
      <c r="T55" s="675">
        <f t="shared" ref="T55" si="63">T54*1000/$C$16*$C$15</f>
        <v>45267.857142857145</v>
      </c>
      <c r="U55" s="675">
        <f t="shared" ref="U55" si="64">U54*1000/$C$16*$C$15</f>
        <v>45267.857142857145</v>
      </c>
      <c r="V55" s="675">
        <f t="shared" ref="V55" si="65">V54*1000/$C$16*$C$15</f>
        <v>45267.857142857145</v>
      </c>
      <c r="W55" s="675">
        <f t="shared" ref="W55" si="66">W54*1000/$C$16*$C$15</f>
        <v>45267.857142857145</v>
      </c>
      <c r="X55" s="675">
        <f t="shared" ref="X55" si="67">X54*1000/$C$16*$C$15</f>
        <v>45267.857142857145</v>
      </c>
      <c r="Y55" s="675">
        <f t="shared" ref="Y55" si="68">Y54*1000/$C$16*$C$15</f>
        <v>45267.857142857145</v>
      </c>
      <c r="Z55" s="675">
        <f t="shared" ref="Z55" si="69">Z54*1000/$C$16*$C$15</f>
        <v>45267.857142857145</v>
      </c>
      <c r="AA55" s="675">
        <f t="shared" ref="AA55" si="70">AA54*1000/$C$16*$C$15</f>
        <v>45267.857142857145</v>
      </c>
      <c r="AB55" s="675">
        <f t="shared" ref="AB55" si="71">AB54*1000/$C$16*$C$15</f>
        <v>45267.857142857145</v>
      </c>
      <c r="AC55" s="675">
        <f t="shared" ref="AC55" si="72">AC54*1000/$C$16*$C$15</f>
        <v>45267.857142857145</v>
      </c>
      <c r="AD55" s="675">
        <f t="shared" ref="AD55" si="73">AD54*1000/$C$16*$C$15</f>
        <v>45267.857142857145</v>
      </c>
      <c r="AE55" s="675">
        <f t="shared" ref="AE55" si="74">AE54*1000/$C$16*$C$15</f>
        <v>45267.857142857145</v>
      </c>
      <c r="AF55" s="675">
        <f t="shared" ref="AF55" si="75">AF54*1000/$C$16*$C$15</f>
        <v>45267.857142857145</v>
      </c>
      <c r="AG55" s="675">
        <f t="shared" ref="AG55" si="76">AG54*1000/$C$16*$C$15</f>
        <v>45267.857142857145</v>
      </c>
      <c r="AH55" s="675">
        <f t="shared" ref="AH55" si="77">AH54*1000/$C$16*$C$15</f>
        <v>45267.857142857145</v>
      </c>
      <c r="AI55" s="675">
        <f t="shared" ref="AI55" si="78">AI54*1000/$C$16*$C$15</f>
        <v>45267.857142857145</v>
      </c>
      <c r="AJ55" s="675">
        <f t="shared" ref="AJ55" si="79">AJ54*1000/$C$16*$C$15</f>
        <v>45267.857142857145</v>
      </c>
      <c r="AK55" s="675">
        <f t="shared" ref="AK55" si="80">AK54*1000/$C$16*$C$15</f>
        <v>45267.857142857145</v>
      </c>
      <c r="AL55" s="675">
        <f t="shared" ref="AL55" si="81">AL54*1000/$C$16*$C$15</f>
        <v>45267.857142857145</v>
      </c>
      <c r="AM55" s="675">
        <f t="shared" ref="AM55" si="82">AM54*1000/$C$16*$C$15</f>
        <v>45267.857142857145</v>
      </c>
      <c r="AN55" s="675">
        <f t="shared" ref="AN55" si="83">AN54*1000/$C$16*$C$15</f>
        <v>45267.857142857145</v>
      </c>
      <c r="AO55" s="675">
        <f t="shared" ref="AO55" si="84">AO54*1000/$C$16*$C$15</f>
        <v>45267.857142857145</v>
      </c>
      <c r="AP55" s="675">
        <f t="shared" ref="AP55" si="85">AP54*1000/$C$16*$C$15</f>
        <v>45267.857142857145</v>
      </c>
      <c r="AQ55" s="675">
        <f t="shared" ref="AQ55" si="86">AQ54*1000/$C$16*$C$15</f>
        <v>45267.857142857145</v>
      </c>
      <c r="AR55" s="675">
        <f t="shared" ref="AR55" si="87">AR54*1000/$C$16*$C$15</f>
        <v>45267.857142857145</v>
      </c>
      <c r="AS55" s="675">
        <f t="shared" ref="AS55" si="88">AS54*1000/$C$16*$C$15</f>
        <v>45267.857142857145</v>
      </c>
      <c r="AT55" s="675">
        <f t="shared" ref="AT55" si="89">AT54*1000/$C$16*$C$15</f>
        <v>45267.857142857145</v>
      </c>
      <c r="AU55" s="675">
        <f t="shared" ref="AU55" si="90">AU54*1000/$C$16*$C$15</f>
        <v>45267.857142857145</v>
      </c>
      <c r="AV55" s="676">
        <f t="shared" ref="AV55" si="91">AV54*1000/$C$16*$C$15</f>
        <v>45267.857142857145</v>
      </c>
    </row>
    <row r="56" spans="2:48" s="15" customFormat="1" ht="13.5" outlineLevel="1" x14ac:dyDescent="0.25">
      <c r="B56" s="817" t="s">
        <v>1285</v>
      </c>
      <c r="C56" s="818" t="s">
        <v>1286</v>
      </c>
      <c r="D56" s="675">
        <f>D$55/100*SISENDID!F261</f>
        <v>0</v>
      </c>
      <c r="E56" s="675">
        <f>E$55/100*SISENDID!G261</f>
        <v>0</v>
      </c>
      <c r="F56" s="675">
        <f>F$55/100*SISENDID!H261</f>
        <v>0</v>
      </c>
      <c r="G56" s="675">
        <f>G$55/100*SISENDID!I261</f>
        <v>0</v>
      </c>
      <c r="H56" s="675">
        <f>H$55/100*SISENDID!J261</f>
        <v>0</v>
      </c>
      <c r="I56" s="675">
        <f>I$55/100*SISENDID!K261</f>
        <v>0</v>
      </c>
      <c r="J56" s="675">
        <f>J$55/100*SISENDID!L261</f>
        <v>0</v>
      </c>
      <c r="K56" s="675">
        <f>K$55/100*SISENDID!M261</f>
        <v>0</v>
      </c>
      <c r="L56" s="675">
        <f>L$55/100*SISENDID!N261</f>
        <v>0</v>
      </c>
      <c r="M56" s="675">
        <f>M$55/100*SISENDID!O261</f>
        <v>0</v>
      </c>
      <c r="N56" s="675">
        <f>N$55/100*SISENDID!P261</f>
        <v>0</v>
      </c>
      <c r="O56" s="675">
        <f>O$55/100*SISENDID!Q261</f>
        <v>0</v>
      </c>
      <c r="P56" s="675">
        <f>P$55/100*SISENDID!R261</f>
        <v>964.80455131037968</v>
      </c>
      <c r="Q56" s="675">
        <f>Q$55/100*SISENDID!S261</f>
        <v>908.73836251197224</v>
      </c>
      <c r="R56" s="675">
        <f>R$55/100*SISENDID!T261</f>
        <v>854.04241029800528</v>
      </c>
      <c r="S56" s="675">
        <f>S$55/100*SISENDID!U261</f>
        <v>800.68873984207949</v>
      </c>
      <c r="T56" s="675">
        <f>T$55/100*SISENDID!V261</f>
        <v>748.64992977448117</v>
      </c>
      <c r="U56" s="675">
        <f>U$55/100*SISENDID!W261</f>
        <v>697.89908227649187</v>
      </c>
      <c r="V56" s="675">
        <f>V$55/100*SISENDID!X261</f>
        <v>648.4098133566863</v>
      </c>
      <c r="W56" s="675">
        <f>W$55/100*SISENDID!Y261</f>
        <v>600.15624330588344</v>
      </c>
      <c r="X56" s="675">
        <f>X$55/100*SISENDID!Z261</f>
        <v>553.11298732748548</v>
      </c>
      <c r="Y56" s="675">
        <f>Y$55/100*SISENDID!AA261</f>
        <v>507.25514633998949</v>
      </c>
      <c r="Z56" s="675">
        <f>Z$55/100*SISENDID!AB261</f>
        <v>462.55829794852201</v>
      </c>
      <c r="AA56" s="675">
        <f>AA$55/100*SISENDID!AC261</f>
        <v>418.99848758230053</v>
      </c>
      <c r="AB56" s="675">
        <f>AB$55/100*SISENDID!AD261</f>
        <v>376.55221979498566</v>
      </c>
      <c r="AC56" s="675">
        <f>AC$55/100*SISENDID!AE261</f>
        <v>357.54812890217221</v>
      </c>
      <c r="AD56" s="675">
        <f>AD$55/100*SISENDID!AF261</f>
        <v>338.5634507986959</v>
      </c>
      <c r="AE56" s="675">
        <f>AE$55/100*SISENDID!AG261</f>
        <v>319.59804221074057</v>
      </c>
      <c r="AF56" s="675">
        <f>AF$55/100*SISENDID!AH261</f>
        <v>300.65176081190856</v>
      </c>
      <c r="AG56" s="675">
        <f>AG$55/100*SISENDID!AI261</f>
        <v>281.72446521732854</v>
      </c>
      <c r="AH56" s="675">
        <f>AH$55/100*SISENDID!AJ261</f>
        <v>262.81601497779781</v>
      </c>
      <c r="AI56" s="675">
        <f>AI$55/100*SISENDID!AK261</f>
        <v>243.92627057396078</v>
      </c>
      <c r="AJ56" s="675">
        <f>AJ$55/100*SISENDID!AL261</f>
        <v>225.05509341052155</v>
      </c>
      <c r="AK56" s="675">
        <f>AK$55/100*SISENDID!AM261</f>
        <v>206.20234581049127</v>
      </c>
      <c r="AL56" s="675">
        <f>AL$55/100*SISENDID!AN261</f>
        <v>187.36789100946987</v>
      </c>
      <c r="AM56" s="675">
        <f>AM$55/100*SISENDID!AO261</f>
        <v>168.55159314996229</v>
      </c>
      <c r="AN56" s="675">
        <f>AN$55/100*SISENDID!AP261</f>
        <v>149.75331727572848</v>
      </c>
      <c r="AO56" s="675">
        <f>AO$55/100*SISENDID!AQ261</f>
        <v>130.97292932616713</v>
      </c>
      <c r="AP56" s="675">
        <f>AP$55/100*SISENDID!AR261</f>
        <v>112.21029613073343</v>
      </c>
      <c r="AQ56" s="675">
        <f>AQ$55/100*SISENDID!AS261</f>
        <v>93.465285403389828</v>
      </c>
      <c r="AR56" s="675">
        <f>AR$55/100*SISENDID!AT261</f>
        <v>74.737765737090328</v>
      </c>
      <c r="AS56" s="675">
        <f>AS$55/100*SISENDID!AU261</f>
        <v>56.027606598297673</v>
      </c>
      <c r="AT56" s="675">
        <f>AT$55/100*SISENDID!AV261</f>
        <v>37.334678321533481</v>
      </c>
      <c r="AU56" s="675">
        <f>AU$55/100*SISENDID!AW261</f>
        <v>18.658852103960939</v>
      </c>
      <c r="AV56" s="676">
        <f>AV$55/100*SISENDID!AX261</f>
        <v>0</v>
      </c>
    </row>
    <row r="57" spans="2:48" s="15" customFormat="1" ht="13.5" outlineLevel="1" x14ac:dyDescent="0.25">
      <c r="B57" s="817" t="s">
        <v>1285</v>
      </c>
      <c r="C57" s="818" t="s">
        <v>659</v>
      </c>
      <c r="D57" s="675">
        <f>D56*SISENDID!$E$418</f>
        <v>0</v>
      </c>
      <c r="E57" s="675">
        <f>E56*SISENDID!$E$418</f>
        <v>0</v>
      </c>
      <c r="F57" s="675">
        <f>F56*SISENDID!$E$418</f>
        <v>0</v>
      </c>
      <c r="G57" s="675">
        <f>G56*SISENDID!$E$418</f>
        <v>0</v>
      </c>
      <c r="H57" s="675">
        <f>H56*SISENDID!$E$418</f>
        <v>0</v>
      </c>
      <c r="I57" s="675">
        <f>I56*SISENDID!$E$418</f>
        <v>0</v>
      </c>
      <c r="J57" s="675">
        <f>J56*SISENDID!$E$418</f>
        <v>0</v>
      </c>
      <c r="K57" s="675">
        <f>K56*SISENDID!$E$418</f>
        <v>0</v>
      </c>
      <c r="L57" s="675">
        <f>L56*SISENDID!$E$418</f>
        <v>0</v>
      </c>
      <c r="M57" s="675">
        <f>M56*SISENDID!$E$418</f>
        <v>0</v>
      </c>
      <c r="N57" s="675">
        <f>N56*SISENDID!$E$418</f>
        <v>0</v>
      </c>
      <c r="O57" s="675">
        <f>O56*SISENDID!$E$418</f>
        <v>0</v>
      </c>
      <c r="P57" s="675">
        <f>P56*SISENDID!$E$418</f>
        <v>9549.8284097803989</v>
      </c>
      <c r="Q57" s="675">
        <f>Q56*SISENDID!$E$418</f>
        <v>8994.874059816002</v>
      </c>
      <c r="R57" s="675">
        <f>R56*SISENDID!$E$418</f>
        <v>8453.482585611715</v>
      </c>
      <c r="S57" s="675">
        <f>S56*SISENDID!$E$418</f>
        <v>7925.3772847048704</v>
      </c>
      <c r="T57" s="675">
        <f>T56*SISENDID!$E$418</f>
        <v>7410.2867348937689</v>
      </c>
      <c r="U57" s="675">
        <f>U56*SISENDID!$E$418</f>
        <v>6907.9446961891708</v>
      </c>
      <c r="V57" s="675">
        <f>V56*SISENDID!$E$418</f>
        <v>6418.0900145671521</v>
      </c>
      <c r="W57" s="675">
        <f>W56*SISENDID!$E$418</f>
        <v>5940.4665274902945</v>
      </c>
      <c r="X57" s="675">
        <f>X56*SISENDID!$E$418</f>
        <v>5474.8229711649165</v>
      </c>
      <c r="Y57" s="675">
        <f>Y56*SISENDID!$E$418</f>
        <v>5020.9128895024833</v>
      </c>
      <c r="Z57" s="675">
        <f>Z56*SISENDID!$E$418</f>
        <v>4578.4945447540604</v>
      </c>
      <c r="AA57" s="675">
        <f>AA56*SISENDID!$E$418</f>
        <v>4147.3308297871272</v>
      </c>
      <c r="AB57" s="675">
        <f>AB56*SISENDID!$E$418</f>
        <v>3727.1891819747266</v>
      </c>
      <c r="AC57" s="675">
        <f>AC56*SISENDID!$E$418</f>
        <v>3539.0828894994806</v>
      </c>
      <c r="AD57" s="675">
        <f>AD56*SISENDID!$E$418</f>
        <v>3351.1687486956516</v>
      </c>
      <c r="AE57" s="675">
        <f>AE56*SISENDID!$E$418</f>
        <v>3163.4453414103523</v>
      </c>
      <c r="AF57" s="675">
        <f>AF56*SISENDID!$E$418</f>
        <v>2975.9112588684329</v>
      </c>
      <c r="AG57" s="675">
        <f>AG56*SISENDID!$E$418</f>
        <v>2788.565101614161</v>
      </c>
      <c r="AH57" s="675">
        <f>AH56*SISENDID!$E$418</f>
        <v>2601.4054794532381</v>
      </c>
      <c r="AI57" s="675">
        <f>AI56*SISENDID!$E$418</f>
        <v>2414.4310113951783</v>
      </c>
      <c r="AJ57" s="675">
        <f>AJ56*SISENDID!$E$418</f>
        <v>2227.640325596024</v>
      </c>
      <c r="AK57" s="675">
        <f>AK56*SISENDID!$E$418</f>
        <v>2041.0320593014044</v>
      </c>
      <c r="AL57" s="675">
        <f>AL56*SISENDID!$E$418</f>
        <v>1854.6048587899345</v>
      </c>
      <c r="AM57" s="675">
        <f>AM56*SISENDID!$E$418</f>
        <v>1668.3573793169567</v>
      </c>
      <c r="AN57" s="675">
        <f>AN56*SISENDID!$E$418</f>
        <v>1482.2882850586154</v>
      </c>
      <c r="AO57" s="675">
        <f>AO56*SISENDID!$E$418</f>
        <v>1296.3962490562674</v>
      </c>
      <c r="AP57" s="675">
        <f>AP56*SISENDID!$E$418</f>
        <v>1110.6799531612255</v>
      </c>
      <c r="AQ57" s="675">
        <f>AQ56*SISENDID!$E$418</f>
        <v>925.13808797983313</v>
      </c>
      <c r="AR57" s="675">
        <f>AR56*SISENDID!$E$418</f>
        <v>739.76935281886745</v>
      </c>
      <c r="AS57" s="675">
        <f>AS56*SISENDID!$E$418</f>
        <v>554.57245563127003</v>
      </c>
      <c r="AT57" s="675">
        <f>AT56*SISENDID!$E$418</f>
        <v>369.5461129622027</v>
      </c>
      <c r="AU57" s="675">
        <f>AU56*SISENDID!$E$418</f>
        <v>184.68904989542614</v>
      </c>
      <c r="AV57" s="676">
        <f>AV56*SISENDID!$E$418</f>
        <v>0</v>
      </c>
    </row>
    <row r="58" spans="2:48" s="15" customFormat="1" ht="13.5" outlineLevel="1" x14ac:dyDescent="0.25">
      <c r="B58" s="817" t="s">
        <v>1287</v>
      </c>
      <c r="C58" s="818" t="s">
        <v>659</v>
      </c>
      <c r="D58" s="675">
        <f>D$55/100*SISENDID!F262</f>
        <v>0</v>
      </c>
      <c r="E58" s="675">
        <f>E$55/100*SISENDID!G262</f>
        <v>0</v>
      </c>
      <c r="F58" s="675">
        <f>F$55/100*SISENDID!H262</f>
        <v>0</v>
      </c>
      <c r="G58" s="675">
        <f>G$55/100*SISENDID!I262</f>
        <v>0</v>
      </c>
      <c r="H58" s="675">
        <f>H$55/100*SISENDID!J262</f>
        <v>0</v>
      </c>
      <c r="I58" s="675">
        <f>I$55/100*SISENDID!K262</f>
        <v>0</v>
      </c>
      <c r="J58" s="675">
        <f>J$55/100*SISENDID!L262</f>
        <v>0</v>
      </c>
      <c r="K58" s="675">
        <f>K$55/100*SISENDID!M262</f>
        <v>0</v>
      </c>
      <c r="L58" s="675">
        <f>L$55/100*SISENDID!N262</f>
        <v>0</v>
      </c>
      <c r="M58" s="675">
        <f>M$55/100*SISENDID!O262</f>
        <v>0</v>
      </c>
      <c r="N58" s="675">
        <f>N$55/100*SISENDID!P262</f>
        <v>0</v>
      </c>
      <c r="O58" s="675">
        <f>O$55/100*SISENDID!Q262</f>
        <v>0</v>
      </c>
      <c r="P58" s="675">
        <f>P$55/100*SISENDID!R262</f>
        <v>5726.0330185289458</v>
      </c>
      <c r="Q58" s="675">
        <f>Q$55/100*SISENDID!S262</f>
        <v>5861.6250661369422</v>
      </c>
      <c r="R58" s="675">
        <f>R$55/100*SISENDID!T262</f>
        <v>5996.6552672232929</v>
      </c>
      <c r="S58" s="675">
        <f>S$55/100*SISENDID!U262</f>
        <v>6131.1253096768887</v>
      </c>
      <c r="T58" s="675">
        <f>T$55/100*SISENDID!V262</f>
        <v>6265.036876968099</v>
      </c>
      <c r="U58" s="675">
        <f>U$55/100*SISENDID!W262</f>
        <v>6398.3916481592587</v>
      </c>
      <c r="V58" s="675">
        <f>V$55/100*SISENDID!X262</f>
        <v>6531.1912979151493</v>
      </c>
      <c r="W58" s="675">
        <f>W$55/100*SISENDID!Y262</f>
        <v>6663.4374965134411</v>
      </c>
      <c r="X58" s="675">
        <f>X$55/100*SISENDID!Z262</f>
        <v>6795.1319098551248</v>
      </c>
      <c r="Y58" s="675">
        <f>Y$55/100*SISENDID!AA262</f>
        <v>6926.276199474918</v>
      </c>
      <c r="Z58" s="675">
        <f>Z$55/100*SISENDID!AB262</f>
        <v>7056.8720225516472</v>
      </c>
      <c r="AA58" s="675">
        <f>AA$55/100*SISENDID!AC262</f>
        <v>7186.9210319186122</v>
      </c>
      <c r="AB58" s="675">
        <f>AB$55/100*SISENDID!AD262</f>
        <v>7316.4248760739147</v>
      </c>
      <c r="AC58" s="675">
        <f>AC$55/100*SISENDID!AE262</f>
        <v>7369.6862486311402</v>
      </c>
      <c r="AD58" s="675">
        <f>AD$55/100*SISENDID!AF262</f>
        <v>7422.815525249548</v>
      </c>
      <c r="AE58" s="675">
        <f>AE$55/100*SISENDID!AG262</f>
        <v>7475.8123097069938</v>
      </c>
      <c r="AF58" s="675">
        <f>AF$55/100*SISENDID!AH262</f>
        <v>7528.6762122548189</v>
      </c>
      <c r="AG58" s="675">
        <f>AG$55/100*SISENDID!AI262</f>
        <v>7581.406849567752</v>
      </c>
      <c r="AH58" s="675">
        <f>AH$55/100*SISENDID!AJ262</f>
        <v>7634.0038446940816</v>
      </c>
      <c r="AI58" s="675">
        <f>AI$55/100*SISENDID!AK262</f>
        <v>7686.466827006202</v>
      </c>
      <c r="AJ58" s="675">
        <f>AJ$55/100*SISENDID!AL262</f>
        <v>7738.7954321514499</v>
      </c>
      <c r="AK58" s="675">
        <f>AK$55/100*SISENDID!AM262</f>
        <v>7790.9893020032532</v>
      </c>
      <c r="AL58" s="675">
        <f>AL$55/100*SISENDID!AN262</f>
        <v>7843.0480846126293</v>
      </c>
      <c r="AM58" s="675">
        <f>AM$55/100*SISENDID!AO262</f>
        <v>7894.9714341599583</v>
      </c>
      <c r="AN58" s="675">
        <f>AN$55/100*SISENDID!AP262</f>
        <v>7946.759010907097</v>
      </c>
      <c r="AO58" s="675">
        <f>AO$55/100*SISENDID!AQ262</f>
        <v>7998.4104811497855</v>
      </c>
      <c r="AP58" s="675">
        <f>AP$55/100*SISENDID!AR262</f>
        <v>8049.925517170379</v>
      </c>
      <c r="AQ58" s="675">
        <f>AQ$55/100*SISENDID!AS262</f>
        <v>8101.3037971908652</v>
      </c>
      <c r="AR58" s="675">
        <f>AR$55/100*SISENDID!AT262</f>
        <v>8152.5450053262048</v>
      </c>
      <c r="AS58" s="675">
        <f>AS$55/100*SISENDID!AU262</f>
        <v>8203.6488315379665</v>
      </c>
      <c r="AT58" s="675">
        <f>AT$55/100*SISENDID!AV262</f>
        <v>8254.6149715882693</v>
      </c>
      <c r="AU58" s="675">
        <f>AU$55/100*SISENDID!AW262</f>
        <v>8305.4431269940123</v>
      </c>
      <c r="AV58" s="676">
        <f>AV$55/100*SISENDID!AX262</f>
        <v>8356.1330049814096</v>
      </c>
    </row>
    <row r="59" spans="2:48" s="39" customFormat="1" ht="13.5" outlineLevel="1" x14ac:dyDescent="0.25">
      <c r="B59" s="689" t="s">
        <v>1261</v>
      </c>
      <c r="C59" s="693" t="s">
        <v>853</v>
      </c>
      <c r="D59" s="710">
        <f>D$55*SISENDID!E263/1000</f>
        <v>0</v>
      </c>
      <c r="E59" s="710">
        <f>E$55*SISENDID!F263/1000</f>
        <v>0</v>
      </c>
      <c r="F59" s="710">
        <f>F$55*SISENDID!G263/1000</f>
        <v>0</v>
      </c>
      <c r="G59" s="710">
        <f>G$55*SISENDID!H263/1000</f>
        <v>0</v>
      </c>
      <c r="H59" s="710">
        <f>H$55*SISENDID!I263/1000</f>
        <v>0</v>
      </c>
      <c r="I59" s="710">
        <f>I$55*SISENDID!J263/1000</f>
        <v>0</v>
      </c>
      <c r="J59" s="710">
        <f>J$55*SISENDID!K263/1000</f>
        <v>0</v>
      </c>
      <c r="K59" s="710">
        <f>K$55*SISENDID!L263/1000</f>
        <v>0</v>
      </c>
      <c r="L59" s="710">
        <f>L$55*SISENDID!M263/1000</f>
        <v>0</v>
      </c>
      <c r="M59" s="710">
        <f>M$55*SISENDID!N263/1000</f>
        <v>0</v>
      </c>
      <c r="N59" s="710">
        <f>N$55*SISENDID!O263/1000</f>
        <v>0</v>
      </c>
      <c r="O59" s="710">
        <f>O$55*SISENDID!P263/1000</f>
        <v>0</v>
      </c>
      <c r="P59" s="710">
        <f>P$55*SISENDID!Q263/1000</f>
        <v>2667.8985016088145</v>
      </c>
      <c r="Q59" s="710">
        <f>Q$55*SISENDID!R263/1000</f>
        <v>2516.0675389552543</v>
      </c>
      <c r="R59" s="710">
        <f>R$55*SISENDID!S263/1000</f>
        <v>2368.0786031991702</v>
      </c>
      <c r="S59" s="710">
        <f>S$55*SISENDID!T263/1000</f>
        <v>2223.8484087420811</v>
      </c>
      <c r="T59" s="710">
        <f>T$55*SISENDID!U263/1000</f>
        <v>2083.2953973162744</v>
      </c>
      <c r="U59" s="710">
        <f>U$55*SISENDID!V263/1000</f>
        <v>1946.3397024864264</v>
      </c>
      <c r="V59" s="710">
        <f>V$55*SISENDID!W263/1000</f>
        <v>1812.9031148821123</v>
      </c>
      <c r="W59" s="710">
        <f>W$55*SISENDID!X263/1000</f>
        <v>1682.9090481460955</v>
      </c>
      <c r="X59" s="710">
        <f>X$55*SISENDID!Y263/1000</f>
        <v>1556.282505583614</v>
      </c>
      <c r="Y59" s="710">
        <f>Y$55*SISENDID!Z263/1000</f>
        <v>1432.9500474981739</v>
      </c>
      <c r="Z59" s="710">
        <f>Z$55*SISENDID!AA263/1000</f>
        <v>1312.8397591996738</v>
      </c>
      <c r="AA59" s="710">
        <f>AA$55*SISENDID!AB263/1000</f>
        <v>1195.8812196709632</v>
      </c>
      <c r="AB59" s="710">
        <f>AB$55*SISENDID!AC263/1000</f>
        <v>1082.0054708792436</v>
      </c>
      <c r="AC59" s="710">
        <f>AC$55*SISENDID!AD263/1000</f>
        <v>971.14498771898161</v>
      </c>
      <c r="AD59" s="710">
        <f>AD$55*SISENDID!AE263/1000</f>
        <v>910.30576898685251</v>
      </c>
      <c r="AE59" s="710">
        <f>AE$55*SISENDID!AF263/1000</f>
        <v>850.92415335501835</v>
      </c>
      <c r="AF59" s="710">
        <f>AF$55*SISENDID!AG263/1000</f>
        <v>792.97033646726675</v>
      </c>
      <c r="AG59" s="710">
        <f>AG$55*SISENDID!AH263/1000</f>
        <v>736.41510059242103</v>
      </c>
      <c r="AH59" s="710">
        <f>AH$55*SISENDID!AI263/1000</f>
        <v>681.22980307913269</v>
      </c>
      <c r="AI59" s="710">
        <f>AI$55*SISENDID!AJ263/1000</f>
        <v>627.38636504055785</v>
      </c>
      <c r="AJ59" s="710">
        <f>AJ$55*SISENDID!AK263/1000</f>
        <v>574.85726026428279</v>
      </c>
      <c r="AK59" s="710">
        <f>AK$55*SISENDID!AL263/1000</f>
        <v>523.61550434295702</v>
      </c>
      <c r="AL59" s="710">
        <f>AL$55*SISENDID!AM263/1000</f>
        <v>473.63464402118581</v>
      </c>
      <c r="AM59" s="710">
        <f>AM$55*SISENDID!AN263/1000</f>
        <v>424.88874675432476</v>
      </c>
      <c r="AN59" s="710">
        <f>AN$55*SISENDID!AO263/1000</f>
        <v>377.3523904749058</v>
      </c>
      <c r="AO59" s="710">
        <f>AO$55*SISENDID!AP263/1000</f>
        <v>331.00065356251343</v>
      </c>
      <c r="AP59" s="710">
        <f>AP$55*SISENDID!AQ263/1000</f>
        <v>285.80910501301264</v>
      </c>
      <c r="AQ59" s="710">
        <f>AQ$55*SISENDID!AR263/1000</f>
        <v>241.75379480311639</v>
      </c>
      <c r="AR59" s="710">
        <f>AR$55*SISENDID!AS263/1000</f>
        <v>198.81124444635759</v>
      </c>
      <c r="AS59" s="710">
        <f>AS$55*SISENDID!AT263/1000</f>
        <v>156.95843773661534</v>
      </c>
      <c r="AT59" s="710">
        <f>AT$55*SISENDID!AU263/1000</f>
        <v>116.17281167542021</v>
      </c>
      <c r="AU59" s="710">
        <f>AU$55*SISENDID!AV263/1000</f>
        <v>76.432247579341649</v>
      </c>
      <c r="AV59" s="426">
        <f>AV$55*SISENDID!AW263/1000</f>
        <v>37.715062363835123</v>
      </c>
    </row>
    <row r="61" spans="2:48" x14ac:dyDescent="0.25">
      <c r="D61" s="125"/>
    </row>
    <row r="62" spans="2:48" x14ac:dyDescent="0.25">
      <c r="D62" s="294"/>
      <c r="E62" s="127"/>
    </row>
    <row r="63" spans="2:48" x14ac:dyDescent="0.25">
      <c r="D63" s="294"/>
      <c r="E63" s="128"/>
    </row>
    <row r="64" spans="2:48" x14ac:dyDescent="0.25">
      <c r="D64" s="294"/>
      <c r="E64" s="128"/>
    </row>
    <row r="65" spans="4:5" x14ac:dyDescent="0.25">
      <c r="D65" s="129"/>
      <c r="E65" s="128"/>
    </row>
    <row r="66" spans="4:5" x14ac:dyDescent="0.25">
      <c r="E66" s="128"/>
    </row>
    <row r="67" spans="4:5" x14ac:dyDescent="0.25">
      <c r="E67" s="128"/>
    </row>
    <row r="68" spans="4:5" x14ac:dyDescent="0.25">
      <c r="E68" s="127"/>
    </row>
    <row r="69" spans="4:5" x14ac:dyDescent="0.25">
      <c r="E69" s="127"/>
    </row>
    <row r="70" spans="4:5" x14ac:dyDescent="0.25">
      <c r="E70" s="127"/>
    </row>
    <row r="71" spans="4:5" x14ac:dyDescent="0.25">
      <c r="E71" s="127"/>
    </row>
  </sheetData>
  <sheetProtection algorithmName="SHA-512" hashValue="BeKIloZFBCRI1dq494PYBDJavJ0hFUOoOIz79aWxestd27RKVG6bwGbwAuEfl0WCfCv/7MiZbi+7Tf+eF//2Bg==" saltValue="8hIc0fsMJIWEP3xlez8zpA==" spinCount="100000" sheet="1" objects="1" scenarios="1" selectLockedCells="1"/>
  <mergeCells count="1">
    <mergeCell ref="D3:L3"/>
  </mergeCells>
  <phoneticPr fontId="16" type="noConversion"/>
  <conditionalFormatting sqref="C35:C37">
    <cfRule type="containsText" dxfId="38" priority="1" operator="containsText" text="Kõrge">
      <formula>NOT(ISERROR(SEARCH("Kõrge",C35)))</formula>
    </cfRule>
    <cfRule type="containsText" dxfId="37" priority="2" operator="containsText" text="Mõõdukas">
      <formula>NOT(ISERROR(SEARCH("Mõõdukas",C35)))</formula>
    </cfRule>
    <cfRule type="containsText" dxfId="36" priority="3" operator="containsText" text="Madal">
      <formula>NOT(ISERROR(SEARCH("Madal",C35)))</formula>
    </cfRule>
  </conditionalFormatting>
  <dataValidations count="3">
    <dataValidation type="list" allowBlank="1" showInputMessage="1" showErrorMessage="1" sqref="C37" xr:uid="{DA706C52-BBBE-4F42-9E7C-522BBFBE34BB}">
      <formula1>I35:I37</formula1>
    </dataValidation>
    <dataValidation type="list" allowBlank="1" showInputMessage="1" showErrorMessage="1" sqref="C36" xr:uid="{2DA42E10-90E0-4547-9DFE-E46548CABAB4}">
      <formula1>I35:I37</formula1>
    </dataValidation>
    <dataValidation type="list" allowBlank="1" showInputMessage="1" showErrorMessage="1" sqref="C35" xr:uid="{962D0C5A-1CA4-419A-924A-9E415607D3AD}">
      <formula1>I35:I37</formula1>
    </dataValidation>
  </dataValidations>
  <hyperlinks>
    <hyperlink ref="B1" location="MEETMED!A1" display="&lt;-MEETMETE NIMEKIRI" xr:uid="{4A41A442-F2A3-41D6-A0A0-7BEDE4A84EC7}"/>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6BDEA-AC4A-472E-A884-0FA0C36A5F9E}">
  <sheetPr>
    <tabColor theme="5" tint="0.79998168889431442"/>
  </sheetPr>
  <dimension ref="A1:AW76"/>
  <sheetViews>
    <sheetView showGridLines="0" zoomScaleNormal="100" workbookViewId="0">
      <selection activeCell="C20" sqref="C20"/>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7" width="11.85546875" customWidth="1"/>
    <col min="8" max="8" width="9.7109375" customWidth="1"/>
    <col min="9" max="9" width="9.85546875" customWidth="1"/>
    <col min="10" max="10" width="9.85546875" bestFit="1"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204.75" customHeight="1" x14ac:dyDescent="0.25">
      <c r="A3" s="260" t="s">
        <v>431</v>
      </c>
      <c r="B3" s="988" t="s">
        <v>1366</v>
      </c>
      <c r="C3" s="988"/>
      <c r="D3" s="988"/>
      <c r="E3" s="988"/>
      <c r="F3" s="990" t="str" cm="1">
        <f t="array" ref="F3">IF(A3="","",_xlfn.LET(
_xlpm.k,TRIM(A3),
_xlpm.codes,IF(ISNUMBER(SEARCH("-",_xlpm.k)),
_xlfn.LET(
_xlpm.startPart,_xlfn.TEXTBEFORE(_xlpm.k,"-"),
_xlpm.endNum,--_xlfn.TEXTAFTER(_xlpm.k,"-"),
_xlpm.p,MIN(IFERROR(FIND({0;1;2;3;4;5;6;7;8;9},_xlpm.startPart),1000000000)),
_xlpm.prefix,LEFT(_xlpm.startPart,_xlpm.p-1),
_xlpm.startNum,--MID(_xlpm.startPart,_xlpm.p,99),
_xlpm.prefix&amp;_xlfn.SEQUENCE(_xlpm.endNum-_xlpm.startNum+1,1,_xlpm.startNum,1)
),
_xlpm.k
),
_xlpm.tegevused,IFERROR(_xlfn._xlws.FILTER(MEETMED!$D:$D,ISNUMBER(MATCH(MEETMED!$B:$B,_xlpm.codes,0))),""),
"TEGEVUS: "&amp;_xlfn.TEXTJOIN(CHAR(10),TRUE,_xlpm.tegevused)
))</f>
        <v>TEGEVUS: Jalgrattateede põhivõrgu välja ehitamine aastaks 2035 (sh olemasolevate põhivõrgu rattateede kvaliteedi tõstmine)
Jalgrattateede tervisevõrgu välja ehitamine aastaks 2035
Rattaparklate loomine kõikidesse piirkondadesse ja keskustesse (15-100m kaugusel sihtkohtadest), sh rattaparkimisnormatiivi loomine uusarenduste juurde (rattastrateegias täpsemad numbrid välja toodud)
Koolide ümbruste jalgrattasõbralikuks muutmine (1km raadiused koolidest)
Rattateede hooldus lumisel ajal ülelinnaliselt kolme prioriteeditaseme põhjal
Avalikes asutustes jalgratta kasutuse toetamine
Linna rattaringluse loomine
Täpsemad jalgrattaloendused või muud jalgrattasõitude andmed
Jalgrattakiirteede võrgu loomine (5-30km pikkused takistusteta laiad jalgrattateede koridorid, mis ühendaksid Tallinna naabervaldadega)</v>
      </c>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9.5" customHeight="1" outlineLevel="1" x14ac:dyDescent="0.25">
      <c r="B6" s="13" t="s">
        <v>1350</v>
      </c>
      <c r="D6" s="2"/>
      <c r="F6" s="323"/>
      <c r="I6" s="309"/>
    </row>
    <row r="7" spans="1:27" s="1" customFormat="1" ht="34.9" customHeight="1" outlineLevel="1" x14ac:dyDescent="0.25">
      <c r="B7" s="442" t="s">
        <v>1367</v>
      </c>
      <c r="C7" s="841" t="s">
        <v>1368</v>
      </c>
      <c r="D7" s="841" t="s">
        <v>1351</v>
      </c>
      <c r="E7" s="841" t="s">
        <v>1369</v>
      </c>
      <c r="F7" s="842" t="s">
        <v>1370</v>
      </c>
      <c r="G7" s="842" t="s">
        <v>1371</v>
      </c>
      <c r="H7" s="842" t="s">
        <v>1372</v>
      </c>
      <c r="I7" s="843" t="s">
        <v>1373</v>
      </c>
      <c r="J7" s="225"/>
      <c r="K7" s="277" t="s">
        <v>876</v>
      </c>
    </row>
    <row r="8" spans="1:27" s="1" customFormat="1" outlineLevel="1" x14ac:dyDescent="0.25">
      <c r="B8" s="802" t="s">
        <v>1374</v>
      </c>
      <c r="C8" s="924">
        <v>2028</v>
      </c>
      <c r="D8" s="924">
        <v>8</v>
      </c>
      <c r="E8" s="840">
        <f>C8+D8-1</f>
        <v>2035</v>
      </c>
      <c r="F8" s="924">
        <v>300</v>
      </c>
      <c r="G8" s="924">
        <v>200</v>
      </c>
      <c r="H8" s="934">
        <v>3</v>
      </c>
      <c r="I8" s="906">
        <v>0.05</v>
      </c>
      <c r="K8" s="893" t="s">
        <v>1670</v>
      </c>
      <c r="L8" s="305" t="s">
        <v>877</v>
      </c>
    </row>
    <row r="9" spans="1:27" s="1" customFormat="1" outlineLevel="1" x14ac:dyDescent="0.25">
      <c r="B9" s="802" t="s">
        <v>1375</v>
      </c>
      <c r="C9" s="924">
        <v>2028</v>
      </c>
      <c r="D9" s="924">
        <v>8</v>
      </c>
      <c r="E9" s="840">
        <f>C9+D9-1</f>
        <v>2035</v>
      </c>
      <c r="F9" s="924">
        <v>100</v>
      </c>
      <c r="G9" s="924">
        <v>200</v>
      </c>
      <c r="H9" s="934">
        <v>3</v>
      </c>
      <c r="I9" s="906">
        <v>0.05</v>
      </c>
      <c r="J9" s="309"/>
      <c r="K9" s="892" t="s">
        <v>878</v>
      </c>
      <c r="L9" s="305" t="s">
        <v>1669</v>
      </c>
    </row>
    <row r="10" spans="1:27" s="1" customFormat="1" outlineLevel="1" x14ac:dyDescent="0.25">
      <c r="B10" s="802" t="s">
        <v>1376</v>
      </c>
      <c r="C10" s="924">
        <v>2028</v>
      </c>
      <c r="D10" s="924">
        <v>8</v>
      </c>
      <c r="E10" s="840">
        <f>C10+D10-1</f>
        <v>2035</v>
      </c>
      <c r="F10" s="924">
        <v>100</v>
      </c>
      <c r="G10" s="924">
        <v>400</v>
      </c>
      <c r="H10" s="934">
        <v>3</v>
      </c>
      <c r="I10" s="906">
        <v>0.03</v>
      </c>
      <c r="J10" s="309"/>
      <c r="K10" s="892" t="s">
        <v>1671</v>
      </c>
      <c r="L10" s="228">
        <v>1234</v>
      </c>
    </row>
    <row r="11" spans="1:27" s="1" customFormat="1" outlineLevel="1" x14ac:dyDescent="0.25">
      <c r="B11" s="802" t="s">
        <v>1377</v>
      </c>
      <c r="C11" s="924">
        <v>2028</v>
      </c>
      <c r="D11" s="924">
        <v>8</v>
      </c>
      <c r="E11" s="840">
        <f t="shared" ref="E11:E12" si="0">C11+D11-1</f>
        <v>2035</v>
      </c>
      <c r="F11" s="924">
        <v>200</v>
      </c>
      <c r="G11" s="934">
        <v>15</v>
      </c>
      <c r="H11" s="934">
        <v>0.5</v>
      </c>
      <c r="I11" s="906">
        <v>0.02</v>
      </c>
      <c r="J11" s="309"/>
    </row>
    <row r="12" spans="1:27" s="1" customFormat="1" outlineLevel="1" x14ac:dyDescent="0.25">
      <c r="B12" s="802" t="s">
        <v>1378</v>
      </c>
      <c r="C12" s="924">
        <v>2028</v>
      </c>
      <c r="D12" s="924">
        <v>2</v>
      </c>
      <c r="E12" s="840">
        <f t="shared" si="0"/>
        <v>2029</v>
      </c>
      <c r="F12" s="924">
        <v>0</v>
      </c>
      <c r="G12" s="910">
        <v>20000</v>
      </c>
      <c r="H12" s="910">
        <v>5000</v>
      </c>
      <c r="I12" s="906">
        <v>0.01</v>
      </c>
      <c r="J12" s="309"/>
      <c r="K12" s="295"/>
    </row>
    <row r="13" spans="1:27" s="1" customFormat="1" outlineLevel="1" x14ac:dyDescent="0.25"/>
    <row r="14" spans="1:27" s="1" customFormat="1" outlineLevel="1" x14ac:dyDescent="0.25">
      <c r="B14" s="802" t="s">
        <v>1379</v>
      </c>
      <c r="C14" s="903">
        <v>0</v>
      </c>
      <c r="D14" s="7" t="s">
        <v>1380</v>
      </c>
      <c r="E14" s="309"/>
      <c r="F14" s="310"/>
      <c r="G14" s="7"/>
      <c r="H14" s="7"/>
      <c r="I14" s="7"/>
      <c r="J14" s="7"/>
      <c r="K14" s="7"/>
      <c r="L14" s="7"/>
    </row>
    <row r="15" spans="1:27" s="1" customFormat="1" outlineLevel="1" x14ac:dyDescent="0.25">
      <c r="B15" s="802" t="s">
        <v>1381</v>
      </c>
      <c r="C15" s="903">
        <v>1000</v>
      </c>
      <c r="D15" s="7" t="s">
        <v>1380</v>
      </c>
      <c r="E15" s="309"/>
      <c r="F15" s="310"/>
      <c r="G15" s="7"/>
      <c r="H15" s="7"/>
      <c r="I15" s="7"/>
      <c r="J15" s="7"/>
      <c r="K15" s="7"/>
      <c r="L15" s="7"/>
    </row>
    <row r="16" spans="1:27" s="1" customFormat="1" outlineLevel="1" x14ac:dyDescent="0.25">
      <c r="B16" s="802" t="s">
        <v>1382</v>
      </c>
      <c r="C16" s="902">
        <v>2030</v>
      </c>
      <c r="D16" s="7" t="s">
        <v>863</v>
      </c>
      <c r="E16" s="309"/>
      <c r="F16" s="310"/>
      <c r="G16" s="7"/>
      <c r="H16" s="7"/>
      <c r="I16" s="7"/>
      <c r="J16" s="7"/>
      <c r="K16" s="7"/>
      <c r="L16" s="7"/>
    </row>
    <row r="17" spans="1:34" s="1" customFormat="1" outlineLevel="1" x14ac:dyDescent="0.25">
      <c r="B17" s="802" t="s">
        <v>1383</v>
      </c>
      <c r="C17" s="903">
        <v>350</v>
      </c>
      <c r="D17" s="7" t="s">
        <v>1232</v>
      </c>
      <c r="E17" s="309"/>
      <c r="F17" s="7"/>
      <c r="G17" s="7"/>
      <c r="H17" s="7"/>
      <c r="I17" s="7"/>
      <c r="J17" s="7"/>
      <c r="K17" s="7"/>
      <c r="L17" s="7"/>
    </row>
    <row r="18" spans="1:34" s="1" customFormat="1" outlineLevel="1" x14ac:dyDescent="0.25">
      <c r="B18" s="802" t="s">
        <v>1267</v>
      </c>
      <c r="C18" s="905">
        <v>5</v>
      </c>
      <c r="D18" s="7" t="s">
        <v>1232</v>
      </c>
      <c r="E18" s="309"/>
      <c r="F18" s="7" t="s">
        <v>1675</v>
      </c>
      <c r="G18" s="7"/>
      <c r="H18" s="7"/>
      <c r="I18" s="7"/>
      <c r="J18" s="7"/>
      <c r="K18" s="7"/>
      <c r="L18" s="7"/>
    </row>
    <row r="19" spans="1:34" s="1" customFormat="1" outlineLevel="1" x14ac:dyDescent="0.25">
      <c r="B19" s="802" t="s">
        <v>1268</v>
      </c>
      <c r="C19" s="905">
        <v>1.4</v>
      </c>
      <c r="D19" s="7" t="s">
        <v>1269</v>
      </c>
      <c r="E19" s="165"/>
      <c r="F19" s="7" t="s">
        <v>1270</v>
      </c>
      <c r="G19" s="7"/>
      <c r="H19" s="7"/>
      <c r="I19" s="7"/>
      <c r="J19" s="7"/>
      <c r="K19" s="7"/>
      <c r="L19" s="7"/>
    </row>
    <row r="20" spans="1:34" s="1" customFormat="1" outlineLevel="1" x14ac:dyDescent="0.25">
      <c r="B20" s="802" t="s">
        <v>1217</v>
      </c>
      <c r="C20" s="905">
        <v>1.5</v>
      </c>
      <c r="D20" s="7" t="s">
        <v>1218</v>
      </c>
      <c r="E20" s="305"/>
      <c r="F20" s="7" t="s">
        <v>1384</v>
      </c>
      <c r="G20" s="7"/>
      <c r="H20" s="7"/>
      <c r="I20" s="7"/>
      <c r="J20" s="7"/>
      <c r="K20" s="7"/>
      <c r="L20" s="7"/>
    </row>
    <row r="21" spans="1:34" s="1" customFormat="1" outlineLevel="1" x14ac:dyDescent="0.25">
      <c r="B21" s="802" t="s">
        <v>1275</v>
      </c>
      <c r="C21" s="905">
        <v>0.2</v>
      </c>
      <c r="D21" s="7" t="s">
        <v>1220</v>
      </c>
      <c r="E21" s="305"/>
      <c r="F21" s="7"/>
      <c r="G21" s="7"/>
      <c r="H21" s="7"/>
      <c r="I21" s="7"/>
      <c r="J21" s="7"/>
      <c r="K21" s="7"/>
      <c r="L21" s="7"/>
    </row>
    <row r="22" spans="1:34" s="1" customFormat="1" outlineLevel="1" x14ac:dyDescent="0.25">
      <c r="B22" s="802" t="s">
        <v>1222</v>
      </c>
      <c r="C22" s="904">
        <v>0.5</v>
      </c>
      <c r="D22" s="7" t="s">
        <v>1223</v>
      </c>
      <c r="E22" s="305"/>
      <c r="F22" s="7" t="s">
        <v>1385</v>
      </c>
      <c r="G22" s="7"/>
      <c r="H22" s="7"/>
      <c r="I22" s="7"/>
      <c r="J22" s="7"/>
      <c r="K22" s="7"/>
      <c r="L22" s="7"/>
    </row>
    <row r="23" spans="1:34" s="1" customFormat="1" x14ac:dyDescent="0.25">
      <c r="B23" s="6"/>
      <c r="C23" s="6"/>
      <c r="D23" s="7"/>
      <c r="E23" s="7"/>
    </row>
    <row r="24" spans="1:34" x14ac:dyDescent="0.25">
      <c r="A24" s="1"/>
      <c r="B24" s="659" t="s">
        <v>895</v>
      </c>
      <c r="C24" s="659"/>
      <c r="D24" s="659"/>
      <c r="E24" s="659"/>
      <c r="F24" s="659"/>
      <c r="G24" s="659"/>
      <c r="H24" s="659"/>
      <c r="I24" s="659"/>
      <c r="J24" s="659"/>
      <c r="K24" s="659"/>
      <c r="L24" s="659"/>
      <c r="M24" s="1"/>
      <c r="N24" s="1"/>
      <c r="O24" s="1"/>
      <c r="P24" s="1"/>
      <c r="Q24" s="1"/>
      <c r="R24" s="1"/>
      <c r="S24" s="1"/>
      <c r="T24" s="1"/>
      <c r="U24" s="1"/>
      <c r="V24" s="1"/>
      <c r="W24" s="1"/>
      <c r="X24" s="1"/>
      <c r="Y24" s="1"/>
      <c r="Z24" s="1"/>
      <c r="AA24" s="1"/>
      <c r="AB24" s="1"/>
      <c r="AC24" s="1"/>
      <c r="AD24" s="1"/>
      <c r="AE24" s="1"/>
      <c r="AF24" s="1"/>
      <c r="AG24" s="1"/>
      <c r="AH24" s="1"/>
    </row>
    <row r="25" spans="1:34" s="1" customFormat="1" ht="3.75" customHeight="1" outlineLevel="1" x14ac:dyDescent="0.25"/>
    <row r="26" spans="1:34" s="1" customFormat="1" outlineLevel="1" x14ac:dyDescent="0.25">
      <c r="B26" s="13" t="s">
        <v>896</v>
      </c>
      <c r="D26" s="43"/>
      <c r="E26" s="829" t="s">
        <v>897</v>
      </c>
      <c r="F26" s="511"/>
    </row>
    <row r="27" spans="1:34" s="1" customFormat="1" outlineLevel="1" x14ac:dyDescent="0.25">
      <c r="B27" s="660" t="s">
        <v>898</v>
      </c>
      <c r="C27" s="665" t="s">
        <v>899</v>
      </c>
      <c r="D27" s="43"/>
      <c r="E27" s="661"/>
      <c r="F27" s="662" t="s">
        <v>900</v>
      </c>
    </row>
    <row r="28" spans="1:34" s="1" customFormat="1" outlineLevel="1" x14ac:dyDescent="0.25">
      <c r="B28" s="663" t="s">
        <v>398</v>
      </c>
      <c r="C28" s="666">
        <f>SUM(D54:AB54)/25/1000</f>
        <v>4.92</v>
      </c>
      <c r="E28" s="663">
        <v>2030</v>
      </c>
      <c r="F28" s="670">
        <f>H64</f>
        <v>0</v>
      </c>
    </row>
    <row r="29" spans="1:34" s="1" customFormat="1" outlineLevel="1" x14ac:dyDescent="0.25">
      <c r="B29" s="155" t="s">
        <v>399</v>
      </c>
      <c r="C29" s="667">
        <f>C28</f>
        <v>4.92</v>
      </c>
      <c r="E29" s="155">
        <v>2035</v>
      </c>
      <c r="F29" s="428">
        <f>M64</f>
        <v>0</v>
      </c>
    </row>
    <row r="30" spans="1:34" s="1" customFormat="1" outlineLevel="1" x14ac:dyDescent="0.25">
      <c r="B30" s="663" t="s">
        <v>400</v>
      </c>
      <c r="C30" s="666">
        <f>SUM(D57:AB57)/25/1000</f>
        <v>5.507767110089457</v>
      </c>
      <c r="E30" s="663">
        <v>2040</v>
      </c>
      <c r="F30" s="670">
        <f>R64</f>
        <v>1071.5287797281312</v>
      </c>
    </row>
    <row r="31" spans="1:34" s="1" customFormat="1" ht="15" customHeight="1" outlineLevel="1" x14ac:dyDescent="0.25">
      <c r="B31" s="155" t="s">
        <v>401</v>
      </c>
      <c r="C31" s="667">
        <f>SUM(D54:AB54)/25/1000</f>
        <v>4.92</v>
      </c>
      <c r="E31" s="155">
        <v>2045</v>
      </c>
      <c r="F31" s="428">
        <f>W64</f>
        <v>761.49730685343684</v>
      </c>
    </row>
    <row r="32" spans="1:34" s="1" customFormat="1" outlineLevel="1" x14ac:dyDescent="0.25">
      <c r="B32" s="663" t="s">
        <v>901</v>
      </c>
      <c r="C32" s="670">
        <f>MAX(D64:AR64)</f>
        <v>1349.9676492698011</v>
      </c>
      <c r="E32" s="663">
        <v>2050</v>
      </c>
      <c r="F32" s="670">
        <f>AB64</f>
        <v>489.59523569196551</v>
      </c>
    </row>
    <row r="33" spans="1:49" s="1" customFormat="1" outlineLevel="1" x14ac:dyDescent="0.25">
      <c r="B33" s="155" t="s">
        <v>1386</v>
      </c>
      <c r="C33" s="428">
        <f>SUM(D62:AB63)/1000</f>
        <v>91.071241656460572</v>
      </c>
      <c r="D33" s="235"/>
      <c r="E33" s="7"/>
    </row>
    <row r="34" spans="1:49" s="1" customFormat="1" outlineLevel="1" x14ac:dyDescent="0.25">
      <c r="B34" s="663" t="s">
        <v>403</v>
      </c>
      <c r="C34" s="670">
        <f>SUM(D57:AV57)*1000/SUM(D64:AV64)</f>
        <v>8579.6076642901699</v>
      </c>
      <c r="E34" s="7"/>
    </row>
    <row r="35" spans="1:49" s="1" customFormat="1" outlineLevel="1" x14ac:dyDescent="0.25">
      <c r="B35" s="13"/>
      <c r="C35" s="236"/>
      <c r="E35" s="7"/>
    </row>
    <row r="36" spans="1:49" s="1" customFormat="1" outlineLevel="1" x14ac:dyDescent="0.25">
      <c r="A36" s="2"/>
      <c r="B36" s="284" t="s">
        <v>903</v>
      </c>
      <c r="D36" s="43"/>
      <c r="E36" s="7"/>
      <c r="I36" s="277" t="s">
        <v>876</v>
      </c>
    </row>
    <row r="37" spans="1:49" s="1" customFormat="1" ht="16.5" customHeight="1" outlineLevel="1" x14ac:dyDescent="0.25">
      <c r="A37" s="2"/>
      <c r="B37" s="155" t="s">
        <v>904</v>
      </c>
      <c r="C37" s="307" t="s">
        <v>905</v>
      </c>
      <c r="D37" s="12"/>
      <c r="E37" s="12"/>
      <c r="F37" s="12"/>
      <c r="G37" s="12"/>
      <c r="H37" s="12"/>
      <c r="I37" s="311" t="s">
        <v>474</v>
      </c>
      <c r="J37" s="295" t="s">
        <v>906</v>
      </c>
    </row>
    <row r="38" spans="1:49" s="1" customFormat="1" outlineLevel="1" x14ac:dyDescent="0.25">
      <c r="A38" s="2"/>
      <c r="B38" s="155" t="s">
        <v>907</v>
      </c>
      <c r="C38" s="307" t="s">
        <v>910</v>
      </c>
      <c r="D38" s="397">
        <f>IF(C38="Kõrge",3,IF(C38="Mõõdukas",2,1))</f>
        <v>1</v>
      </c>
      <c r="E38" s="12"/>
      <c r="F38" s="12"/>
      <c r="G38" s="12"/>
      <c r="H38" s="12"/>
      <c r="I38" s="312" t="s">
        <v>905</v>
      </c>
      <c r="J38" s="295" t="s">
        <v>908</v>
      </c>
    </row>
    <row r="39" spans="1:49" s="1" customFormat="1" outlineLevel="1" x14ac:dyDescent="0.25">
      <c r="A39" s="2"/>
      <c r="B39" s="155" t="s">
        <v>909</v>
      </c>
      <c r="C39" s="307" t="s">
        <v>905</v>
      </c>
      <c r="D39" s="397">
        <f>IF(C39="Kõrge",3,IF(C39="Mõõdukas",2,1))</f>
        <v>2</v>
      </c>
      <c r="E39" s="12"/>
      <c r="F39" s="12"/>
      <c r="I39" s="313" t="s">
        <v>910</v>
      </c>
      <c r="J39" s="295" t="s">
        <v>911</v>
      </c>
    </row>
    <row r="40" spans="1:49" s="1" customFormat="1" x14ac:dyDescent="0.25">
      <c r="B40" s="4"/>
      <c r="C40" s="399" t="s">
        <v>912</v>
      </c>
      <c r="D40" s="398">
        <f>D39+D38</f>
        <v>3</v>
      </c>
      <c r="E40" s="12"/>
      <c r="F40" s="12"/>
      <c r="G40" s="12"/>
      <c r="H40" s="12"/>
    </row>
    <row r="41" spans="1:49" x14ac:dyDescent="0.25">
      <c r="A41" s="1"/>
      <c r="B41" s="659" t="s">
        <v>913</v>
      </c>
      <c r="C41" s="659"/>
      <c r="D41" s="659"/>
      <c r="E41" s="659"/>
      <c r="F41" s="659"/>
      <c r="G41" s="659"/>
      <c r="H41" s="659"/>
      <c r="I41" s="659"/>
      <c r="J41" s="659"/>
      <c r="K41" s="659"/>
      <c r="L41" s="659"/>
      <c r="M41" s="659"/>
      <c r="N41" s="659"/>
      <c r="O41" s="659"/>
      <c r="P41" s="659"/>
      <c r="Q41" s="659"/>
      <c r="R41" s="659"/>
      <c r="S41" s="659"/>
      <c r="T41" s="659"/>
      <c r="U41" s="659"/>
      <c r="V41" s="659"/>
      <c r="W41" s="659"/>
      <c r="X41" s="659"/>
      <c r="Y41" s="659"/>
      <c r="Z41" s="659"/>
      <c r="AA41" s="659"/>
      <c r="AB41" s="659"/>
      <c r="AC41" s="659"/>
      <c r="AD41" s="659"/>
      <c r="AE41" s="659"/>
      <c r="AF41" s="659"/>
      <c r="AG41" s="659"/>
      <c r="AH41" s="659"/>
      <c r="AI41" s="659"/>
      <c r="AJ41" s="659"/>
      <c r="AK41" s="659"/>
      <c r="AL41" s="659"/>
      <c r="AM41" s="659"/>
      <c r="AN41" s="659"/>
      <c r="AO41" s="659"/>
      <c r="AP41" s="659"/>
      <c r="AQ41" s="659"/>
      <c r="AR41" s="659"/>
      <c r="AS41" s="659"/>
      <c r="AT41" s="659"/>
      <c r="AU41" s="659"/>
      <c r="AV41" s="659"/>
      <c r="AW41" s="511"/>
    </row>
    <row r="42" spans="1:49" s="15" customFormat="1" ht="7.5" customHeight="1" outlineLevel="1" x14ac:dyDescent="0.25"/>
    <row r="43" spans="1:49" s="15" customFormat="1" ht="13.5" outlineLevel="1" x14ac:dyDescent="0.25">
      <c r="B43" s="715" t="s">
        <v>914</v>
      </c>
      <c r="C43" s="719"/>
      <c r="D43" s="432">
        <v>2026</v>
      </c>
      <c r="E43" s="432">
        <f>D43+1</f>
        <v>2027</v>
      </c>
      <c r="F43" s="432">
        <f t="shared" ref="F43:AV43" si="1">E43+1</f>
        <v>2028</v>
      </c>
      <c r="G43" s="432">
        <f t="shared" si="1"/>
        <v>2029</v>
      </c>
      <c r="H43" s="432">
        <f t="shared" si="1"/>
        <v>2030</v>
      </c>
      <c r="I43" s="432">
        <f t="shared" si="1"/>
        <v>2031</v>
      </c>
      <c r="J43" s="432">
        <f t="shared" si="1"/>
        <v>2032</v>
      </c>
      <c r="K43" s="432">
        <f t="shared" si="1"/>
        <v>2033</v>
      </c>
      <c r="L43" s="432">
        <f t="shared" si="1"/>
        <v>2034</v>
      </c>
      <c r="M43" s="432">
        <f t="shared" si="1"/>
        <v>2035</v>
      </c>
      <c r="N43" s="432">
        <f>M43+1</f>
        <v>2036</v>
      </c>
      <c r="O43" s="432">
        <f t="shared" si="1"/>
        <v>2037</v>
      </c>
      <c r="P43" s="432">
        <f t="shared" si="1"/>
        <v>2038</v>
      </c>
      <c r="Q43" s="432">
        <f t="shared" si="1"/>
        <v>2039</v>
      </c>
      <c r="R43" s="432">
        <f t="shared" si="1"/>
        <v>2040</v>
      </c>
      <c r="S43" s="432">
        <f>R43+1</f>
        <v>2041</v>
      </c>
      <c r="T43" s="432">
        <f>S43+1</f>
        <v>2042</v>
      </c>
      <c r="U43" s="432">
        <f>T43+1</f>
        <v>2043</v>
      </c>
      <c r="V43" s="432">
        <f t="shared" si="1"/>
        <v>2044</v>
      </c>
      <c r="W43" s="432">
        <f t="shared" si="1"/>
        <v>2045</v>
      </c>
      <c r="X43" s="432">
        <f t="shared" si="1"/>
        <v>2046</v>
      </c>
      <c r="Y43" s="432">
        <f t="shared" si="1"/>
        <v>2047</v>
      </c>
      <c r="Z43" s="432">
        <f t="shared" si="1"/>
        <v>2048</v>
      </c>
      <c r="AA43" s="432">
        <f t="shared" si="1"/>
        <v>2049</v>
      </c>
      <c r="AB43" s="432">
        <f t="shared" si="1"/>
        <v>2050</v>
      </c>
      <c r="AC43" s="432">
        <f t="shared" si="1"/>
        <v>2051</v>
      </c>
      <c r="AD43" s="432">
        <f t="shared" si="1"/>
        <v>2052</v>
      </c>
      <c r="AE43" s="432">
        <f t="shared" si="1"/>
        <v>2053</v>
      </c>
      <c r="AF43" s="432">
        <f t="shared" si="1"/>
        <v>2054</v>
      </c>
      <c r="AG43" s="432">
        <f t="shared" si="1"/>
        <v>2055</v>
      </c>
      <c r="AH43" s="432">
        <f t="shared" si="1"/>
        <v>2056</v>
      </c>
      <c r="AI43" s="432">
        <f t="shared" si="1"/>
        <v>2057</v>
      </c>
      <c r="AJ43" s="432">
        <f t="shared" si="1"/>
        <v>2058</v>
      </c>
      <c r="AK43" s="432">
        <f t="shared" si="1"/>
        <v>2059</v>
      </c>
      <c r="AL43" s="432">
        <f t="shared" si="1"/>
        <v>2060</v>
      </c>
      <c r="AM43" s="432">
        <f t="shared" si="1"/>
        <v>2061</v>
      </c>
      <c r="AN43" s="432">
        <f t="shared" si="1"/>
        <v>2062</v>
      </c>
      <c r="AO43" s="432">
        <f t="shared" si="1"/>
        <v>2063</v>
      </c>
      <c r="AP43" s="432">
        <f t="shared" si="1"/>
        <v>2064</v>
      </c>
      <c r="AQ43" s="432">
        <f t="shared" si="1"/>
        <v>2065</v>
      </c>
      <c r="AR43" s="432">
        <f t="shared" si="1"/>
        <v>2066</v>
      </c>
      <c r="AS43" s="432">
        <f t="shared" si="1"/>
        <v>2067</v>
      </c>
      <c r="AT43" s="432">
        <f t="shared" si="1"/>
        <v>2068</v>
      </c>
      <c r="AU43" s="432">
        <f t="shared" si="1"/>
        <v>2069</v>
      </c>
      <c r="AV43" s="716">
        <f t="shared" si="1"/>
        <v>2070</v>
      </c>
    </row>
    <row r="44" spans="1:49" s="15" customFormat="1" ht="13.5" outlineLevel="1" x14ac:dyDescent="0.25">
      <c r="B44" s="689" t="s">
        <v>1360</v>
      </c>
      <c r="C44" s="815"/>
      <c r="D44" s="686"/>
      <c r="E44" s="686"/>
      <c r="F44" s="686"/>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6"/>
      <c r="AH44" s="686"/>
      <c r="AI44" s="686"/>
      <c r="AJ44" s="686"/>
      <c r="AK44" s="686"/>
      <c r="AL44" s="686"/>
      <c r="AM44" s="686"/>
      <c r="AN44" s="686"/>
      <c r="AO44" s="686"/>
      <c r="AP44" s="686"/>
      <c r="AQ44" s="686"/>
      <c r="AR44" s="686"/>
      <c r="AS44" s="686"/>
      <c r="AT44" s="686"/>
      <c r="AU44" s="686"/>
      <c r="AV44" s="687"/>
    </row>
    <row r="45" spans="1:49" s="15" customFormat="1" ht="13.5" outlineLevel="1" x14ac:dyDescent="0.25">
      <c r="B45" s="671" t="s">
        <v>1387</v>
      </c>
      <c r="C45" s="818" t="s">
        <v>1279</v>
      </c>
      <c r="D45" s="675">
        <f t="shared" ref="D45:AV45" si="2">IF(OR(D43&lt;$C$8,D43&gt;$E$8),0,1)</f>
        <v>0</v>
      </c>
      <c r="E45" s="675">
        <f t="shared" si="2"/>
        <v>0</v>
      </c>
      <c r="F45" s="675">
        <f t="shared" si="2"/>
        <v>1</v>
      </c>
      <c r="G45" s="675">
        <f t="shared" si="2"/>
        <v>1</v>
      </c>
      <c r="H45" s="675">
        <f t="shared" si="2"/>
        <v>1</v>
      </c>
      <c r="I45" s="675">
        <f t="shared" si="2"/>
        <v>1</v>
      </c>
      <c r="J45" s="675">
        <f t="shared" si="2"/>
        <v>1</v>
      </c>
      <c r="K45" s="675">
        <f t="shared" si="2"/>
        <v>1</v>
      </c>
      <c r="L45" s="675">
        <f t="shared" si="2"/>
        <v>1</v>
      </c>
      <c r="M45" s="675">
        <f t="shared" si="2"/>
        <v>1</v>
      </c>
      <c r="N45" s="675">
        <f t="shared" si="2"/>
        <v>0</v>
      </c>
      <c r="O45" s="675">
        <f t="shared" si="2"/>
        <v>0</v>
      </c>
      <c r="P45" s="675">
        <f t="shared" si="2"/>
        <v>0</v>
      </c>
      <c r="Q45" s="675">
        <f t="shared" si="2"/>
        <v>0</v>
      </c>
      <c r="R45" s="675">
        <f t="shared" si="2"/>
        <v>0</v>
      </c>
      <c r="S45" s="675">
        <f t="shared" si="2"/>
        <v>0</v>
      </c>
      <c r="T45" s="675">
        <f t="shared" si="2"/>
        <v>0</v>
      </c>
      <c r="U45" s="675">
        <f t="shared" si="2"/>
        <v>0</v>
      </c>
      <c r="V45" s="675">
        <f t="shared" si="2"/>
        <v>0</v>
      </c>
      <c r="W45" s="675">
        <f t="shared" si="2"/>
        <v>0</v>
      </c>
      <c r="X45" s="675">
        <f t="shared" si="2"/>
        <v>0</v>
      </c>
      <c r="Y45" s="675">
        <f t="shared" si="2"/>
        <v>0</v>
      </c>
      <c r="Z45" s="675">
        <f t="shared" si="2"/>
        <v>0</v>
      </c>
      <c r="AA45" s="675">
        <f t="shared" si="2"/>
        <v>0</v>
      </c>
      <c r="AB45" s="675">
        <f t="shared" si="2"/>
        <v>0</v>
      </c>
      <c r="AC45" s="675">
        <f t="shared" si="2"/>
        <v>0</v>
      </c>
      <c r="AD45" s="675">
        <f t="shared" si="2"/>
        <v>0</v>
      </c>
      <c r="AE45" s="675">
        <f t="shared" si="2"/>
        <v>0</v>
      </c>
      <c r="AF45" s="675">
        <f t="shared" si="2"/>
        <v>0</v>
      </c>
      <c r="AG45" s="675">
        <f t="shared" si="2"/>
        <v>0</v>
      </c>
      <c r="AH45" s="675">
        <f t="shared" si="2"/>
        <v>0</v>
      </c>
      <c r="AI45" s="675">
        <f t="shared" si="2"/>
        <v>0</v>
      </c>
      <c r="AJ45" s="675">
        <f t="shared" si="2"/>
        <v>0</v>
      </c>
      <c r="AK45" s="675">
        <f t="shared" si="2"/>
        <v>0</v>
      </c>
      <c r="AL45" s="675">
        <f t="shared" si="2"/>
        <v>0</v>
      </c>
      <c r="AM45" s="675">
        <f t="shared" si="2"/>
        <v>0</v>
      </c>
      <c r="AN45" s="675">
        <f t="shared" si="2"/>
        <v>0</v>
      </c>
      <c r="AO45" s="675">
        <f t="shared" si="2"/>
        <v>0</v>
      </c>
      <c r="AP45" s="675">
        <f t="shared" si="2"/>
        <v>0</v>
      </c>
      <c r="AQ45" s="675">
        <f t="shared" si="2"/>
        <v>0</v>
      </c>
      <c r="AR45" s="675">
        <f t="shared" si="2"/>
        <v>0</v>
      </c>
      <c r="AS45" s="675">
        <f t="shared" si="2"/>
        <v>0</v>
      </c>
      <c r="AT45" s="675">
        <f t="shared" si="2"/>
        <v>0</v>
      </c>
      <c r="AU45" s="675">
        <f t="shared" si="2"/>
        <v>0</v>
      </c>
      <c r="AV45" s="676">
        <f t="shared" si="2"/>
        <v>0</v>
      </c>
    </row>
    <row r="46" spans="1:49" s="15" customFormat="1" ht="13.5" outlineLevel="1" x14ac:dyDescent="0.25">
      <c r="B46" s="671" t="s">
        <v>1388</v>
      </c>
      <c r="C46" s="818" t="s">
        <v>1279</v>
      </c>
      <c r="D46" s="675">
        <f>IF(OR(D43&lt;$C$9,D43&gt;$E$9),0,1)</f>
        <v>0</v>
      </c>
      <c r="E46" s="675">
        <f t="shared" ref="E46:AV46" si="3">IF(OR(E43&lt;$C$9,E43&gt;$E$9),0,1)</f>
        <v>0</v>
      </c>
      <c r="F46" s="675">
        <f t="shared" si="3"/>
        <v>1</v>
      </c>
      <c r="G46" s="675">
        <f t="shared" si="3"/>
        <v>1</v>
      </c>
      <c r="H46" s="675">
        <f t="shared" si="3"/>
        <v>1</v>
      </c>
      <c r="I46" s="675">
        <f t="shared" si="3"/>
        <v>1</v>
      </c>
      <c r="J46" s="675">
        <f t="shared" si="3"/>
        <v>1</v>
      </c>
      <c r="K46" s="675">
        <f t="shared" si="3"/>
        <v>1</v>
      </c>
      <c r="L46" s="675">
        <f t="shared" si="3"/>
        <v>1</v>
      </c>
      <c r="M46" s="675">
        <f t="shared" si="3"/>
        <v>1</v>
      </c>
      <c r="N46" s="675">
        <f t="shared" si="3"/>
        <v>0</v>
      </c>
      <c r="O46" s="675">
        <f t="shared" si="3"/>
        <v>0</v>
      </c>
      <c r="P46" s="675">
        <f t="shared" si="3"/>
        <v>0</v>
      </c>
      <c r="Q46" s="675">
        <f t="shared" si="3"/>
        <v>0</v>
      </c>
      <c r="R46" s="675">
        <f t="shared" si="3"/>
        <v>0</v>
      </c>
      <c r="S46" s="675">
        <f t="shared" si="3"/>
        <v>0</v>
      </c>
      <c r="T46" s="675">
        <f t="shared" si="3"/>
        <v>0</v>
      </c>
      <c r="U46" s="675">
        <f t="shared" si="3"/>
        <v>0</v>
      </c>
      <c r="V46" s="675">
        <f t="shared" si="3"/>
        <v>0</v>
      </c>
      <c r="W46" s="675">
        <f t="shared" si="3"/>
        <v>0</v>
      </c>
      <c r="X46" s="675">
        <f t="shared" si="3"/>
        <v>0</v>
      </c>
      <c r="Y46" s="675">
        <f t="shared" si="3"/>
        <v>0</v>
      </c>
      <c r="Z46" s="675">
        <f t="shared" si="3"/>
        <v>0</v>
      </c>
      <c r="AA46" s="675">
        <f t="shared" si="3"/>
        <v>0</v>
      </c>
      <c r="AB46" s="675">
        <f t="shared" si="3"/>
        <v>0</v>
      </c>
      <c r="AC46" s="675">
        <f t="shared" si="3"/>
        <v>0</v>
      </c>
      <c r="AD46" s="675">
        <f t="shared" si="3"/>
        <v>0</v>
      </c>
      <c r="AE46" s="675">
        <f t="shared" si="3"/>
        <v>0</v>
      </c>
      <c r="AF46" s="675">
        <f t="shared" si="3"/>
        <v>0</v>
      </c>
      <c r="AG46" s="675">
        <f t="shared" si="3"/>
        <v>0</v>
      </c>
      <c r="AH46" s="675">
        <f t="shared" si="3"/>
        <v>0</v>
      </c>
      <c r="AI46" s="675">
        <f t="shared" si="3"/>
        <v>0</v>
      </c>
      <c r="AJ46" s="675">
        <f t="shared" si="3"/>
        <v>0</v>
      </c>
      <c r="AK46" s="675">
        <f t="shared" si="3"/>
        <v>0</v>
      </c>
      <c r="AL46" s="675">
        <f t="shared" si="3"/>
        <v>0</v>
      </c>
      <c r="AM46" s="675">
        <f t="shared" si="3"/>
        <v>0</v>
      </c>
      <c r="AN46" s="675">
        <f t="shared" si="3"/>
        <v>0</v>
      </c>
      <c r="AO46" s="675">
        <f t="shared" si="3"/>
        <v>0</v>
      </c>
      <c r="AP46" s="675">
        <f t="shared" si="3"/>
        <v>0</v>
      </c>
      <c r="AQ46" s="675">
        <f t="shared" si="3"/>
        <v>0</v>
      </c>
      <c r="AR46" s="675">
        <f t="shared" si="3"/>
        <v>0</v>
      </c>
      <c r="AS46" s="675">
        <f t="shared" si="3"/>
        <v>0</v>
      </c>
      <c r="AT46" s="675">
        <f t="shared" si="3"/>
        <v>0</v>
      </c>
      <c r="AU46" s="675">
        <f t="shared" si="3"/>
        <v>0</v>
      </c>
      <c r="AV46" s="676">
        <f t="shared" si="3"/>
        <v>0</v>
      </c>
    </row>
    <row r="47" spans="1:49" s="15" customFormat="1" ht="13.5" outlineLevel="1" x14ac:dyDescent="0.25">
      <c r="B47" s="671" t="s">
        <v>1389</v>
      </c>
      <c r="C47" s="818" t="s">
        <v>1279</v>
      </c>
      <c r="D47" s="675">
        <f>IF(OR(D43&lt;$C$10,D43&gt;$E$10),0,1)</f>
        <v>0</v>
      </c>
      <c r="E47" s="675">
        <f t="shared" ref="E47:AV47" si="4">IF(OR(E43&lt;$C$10,E43&gt;$E$10),0,1)</f>
        <v>0</v>
      </c>
      <c r="F47" s="675">
        <f t="shared" si="4"/>
        <v>1</v>
      </c>
      <c r="G47" s="675">
        <f t="shared" si="4"/>
        <v>1</v>
      </c>
      <c r="H47" s="675">
        <f t="shared" si="4"/>
        <v>1</v>
      </c>
      <c r="I47" s="675">
        <f t="shared" si="4"/>
        <v>1</v>
      </c>
      <c r="J47" s="675">
        <f t="shared" si="4"/>
        <v>1</v>
      </c>
      <c r="K47" s="675">
        <f t="shared" si="4"/>
        <v>1</v>
      </c>
      <c r="L47" s="675">
        <f t="shared" si="4"/>
        <v>1</v>
      </c>
      <c r="M47" s="675">
        <f t="shared" si="4"/>
        <v>1</v>
      </c>
      <c r="N47" s="675">
        <f t="shared" si="4"/>
        <v>0</v>
      </c>
      <c r="O47" s="675">
        <f t="shared" si="4"/>
        <v>0</v>
      </c>
      <c r="P47" s="675">
        <f t="shared" si="4"/>
        <v>0</v>
      </c>
      <c r="Q47" s="675">
        <f t="shared" si="4"/>
        <v>0</v>
      </c>
      <c r="R47" s="675">
        <f t="shared" si="4"/>
        <v>0</v>
      </c>
      <c r="S47" s="675">
        <f t="shared" si="4"/>
        <v>0</v>
      </c>
      <c r="T47" s="675">
        <f t="shared" si="4"/>
        <v>0</v>
      </c>
      <c r="U47" s="675">
        <f t="shared" si="4"/>
        <v>0</v>
      </c>
      <c r="V47" s="675">
        <f t="shared" si="4"/>
        <v>0</v>
      </c>
      <c r="W47" s="675">
        <f t="shared" si="4"/>
        <v>0</v>
      </c>
      <c r="X47" s="675">
        <f t="shared" si="4"/>
        <v>0</v>
      </c>
      <c r="Y47" s="675">
        <f t="shared" si="4"/>
        <v>0</v>
      </c>
      <c r="Z47" s="675">
        <f t="shared" si="4"/>
        <v>0</v>
      </c>
      <c r="AA47" s="675">
        <f t="shared" si="4"/>
        <v>0</v>
      </c>
      <c r="AB47" s="675">
        <f t="shared" si="4"/>
        <v>0</v>
      </c>
      <c r="AC47" s="675">
        <f t="shared" si="4"/>
        <v>0</v>
      </c>
      <c r="AD47" s="675">
        <f t="shared" si="4"/>
        <v>0</v>
      </c>
      <c r="AE47" s="675">
        <f t="shared" si="4"/>
        <v>0</v>
      </c>
      <c r="AF47" s="675">
        <f t="shared" si="4"/>
        <v>0</v>
      </c>
      <c r="AG47" s="675">
        <f t="shared" si="4"/>
        <v>0</v>
      </c>
      <c r="AH47" s="675">
        <f t="shared" si="4"/>
        <v>0</v>
      </c>
      <c r="AI47" s="675">
        <f t="shared" si="4"/>
        <v>0</v>
      </c>
      <c r="AJ47" s="675">
        <f t="shared" si="4"/>
        <v>0</v>
      </c>
      <c r="AK47" s="675">
        <f t="shared" si="4"/>
        <v>0</v>
      </c>
      <c r="AL47" s="675">
        <f t="shared" si="4"/>
        <v>0</v>
      </c>
      <c r="AM47" s="675">
        <f t="shared" si="4"/>
        <v>0</v>
      </c>
      <c r="AN47" s="675">
        <f t="shared" si="4"/>
        <v>0</v>
      </c>
      <c r="AO47" s="675">
        <f t="shared" si="4"/>
        <v>0</v>
      </c>
      <c r="AP47" s="675">
        <f t="shared" si="4"/>
        <v>0</v>
      </c>
      <c r="AQ47" s="675">
        <f t="shared" si="4"/>
        <v>0</v>
      </c>
      <c r="AR47" s="675">
        <f t="shared" si="4"/>
        <v>0</v>
      </c>
      <c r="AS47" s="675">
        <f t="shared" si="4"/>
        <v>0</v>
      </c>
      <c r="AT47" s="675">
        <f t="shared" si="4"/>
        <v>0</v>
      </c>
      <c r="AU47" s="675">
        <f t="shared" si="4"/>
        <v>0</v>
      </c>
      <c r="AV47" s="676">
        <f t="shared" si="4"/>
        <v>0</v>
      </c>
    </row>
    <row r="48" spans="1:49" s="15" customFormat="1" ht="13.5" outlineLevel="1" x14ac:dyDescent="0.25">
      <c r="B48" s="671" t="s">
        <v>1390</v>
      </c>
      <c r="C48" s="818" t="s">
        <v>1279</v>
      </c>
      <c r="D48" s="675">
        <f t="shared" ref="D48:AV48" si="5">IF(OR(D43&lt;$C$11,D43&gt;$E$11),0,1)</f>
        <v>0</v>
      </c>
      <c r="E48" s="675">
        <f t="shared" si="5"/>
        <v>0</v>
      </c>
      <c r="F48" s="675">
        <f t="shared" si="5"/>
        <v>1</v>
      </c>
      <c r="G48" s="675">
        <f t="shared" si="5"/>
        <v>1</v>
      </c>
      <c r="H48" s="675">
        <f t="shared" si="5"/>
        <v>1</v>
      </c>
      <c r="I48" s="675">
        <f t="shared" si="5"/>
        <v>1</v>
      </c>
      <c r="J48" s="675">
        <f t="shared" si="5"/>
        <v>1</v>
      </c>
      <c r="K48" s="675">
        <f t="shared" si="5"/>
        <v>1</v>
      </c>
      <c r="L48" s="675">
        <f t="shared" si="5"/>
        <v>1</v>
      </c>
      <c r="M48" s="675">
        <f t="shared" si="5"/>
        <v>1</v>
      </c>
      <c r="N48" s="675">
        <f t="shared" si="5"/>
        <v>0</v>
      </c>
      <c r="O48" s="675">
        <f t="shared" si="5"/>
        <v>0</v>
      </c>
      <c r="P48" s="675">
        <f t="shared" si="5"/>
        <v>0</v>
      </c>
      <c r="Q48" s="675">
        <f t="shared" si="5"/>
        <v>0</v>
      </c>
      <c r="R48" s="675">
        <f t="shared" si="5"/>
        <v>0</v>
      </c>
      <c r="S48" s="675">
        <f t="shared" si="5"/>
        <v>0</v>
      </c>
      <c r="T48" s="675">
        <f t="shared" si="5"/>
        <v>0</v>
      </c>
      <c r="U48" s="675">
        <f t="shared" si="5"/>
        <v>0</v>
      </c>
      <c r="V48" s="675">
        <f t="shared" si="5"/>
        <v>0</v>
      </c>
      <c r="W48" s="675">
        <f t="shared" si="5"/>
        <v>0</v>
      </c>
      <c r="X48" s="675">
        <f t="shared" si="5"/>
        <v>0</v>
      </c>
      <c r="Y48" s="675">
        <f t="shared" si="5"/>
        <v>0</v>
      </c>
      <c r="Z48" s="675">
        <f t="shared" si="5"/>
        <v>0</v>
      </c>
      <c r="AA48" s="675">
        <f t="shared" si="5"/>
        <v>0</v>
      </c>
      <c r="AB48" s="675">
        <f t="shared" si="5"/>
        <v>0</v>
      </c>
      <c r="AC48" s="675">
        <f t="shared" si="5"/>
        <v>0</v>
      </c>
      <c r="AD48" s="675">
        <f t="shared" si="5"/>
        <v>0</v>
      </c>
      <c r="AE48" s="675">
        <f t="shared" si="5"/>
        <v>0</v>
      </c>
      <c r="AF48" s="675">
        <f t="shared" si="5"/>
        <v>0</v>
      </c>
      <c r="AG48" s="675">
        <f t="shared" si="5"/>
        <v>0</v>
      </c>
      <c r="AH48" s="675">
        <f t="shared" si="5"/>
        <v>0</v>
      </c>
      <c r="AI48" s="675">
        <f t="shared" si="5"/>
        <v>0</v>
      </c>
      <c r="AJ48" s="675">
        <f t="shared" si="5"/>
        <v>0</v>
      </c>
      <c r="AK48" s="675">
        <f t="shared" si="5"/>
        <v>0</v>
      </c>
      <c r="AL48" s="675">
        <f t="shared" si="5"/>
        <v>0</v>
      </c>
      <c r="AM48" s="675">
        <f t="shared" si="5"/>
        <v>0</v>
      </c>
      <c r="AN48" s="675">
        <f t="shared" si="5"/>
        <v>0</v>
      </c>
      <c r="AO48" s="675">
        <f t="shared" si="5"/>
        <v>0</v>
      </c>
      <c r="AP48" s="675">
        <f t="shared" si="5"/>
        <v>0</v>
      </c>
      <c r="AQ48" s="675">
        <f t="shared" si="5"/>
        <v>0</v>
      </c>
      <c r="AR48" s="675">
        <f t="shared" si="5"/>
        <v>0</v>
      </c>
      <c r="AS48" s="675">
        <f t="shared" si="5"/>
        <v>0</v>
      </c>
      <c r="AT48" s="675">
        <f t="shared" si="5"/>
        <v>0</v>
      </c>
      <c r="AU48" s="675">
        <f t="shared" si="5"/>
        <v>0</v>
      </c>
      <c r="AV48" s="676">
        <f t="shared" si="5"/>
        <v>0</v>
      </c>
    </row>
    <row r="49" spans="2:48" s="15" customFormat="1" ht="13.5" outlineLevel="1" x14ac:dyDescent="0.25">
      <c r="B49" s="671" t="s">
        <v>1391</v>
      </c>
      <c r="C49" s="818" t="s">
        <v>1279</v>
      </c>
      <c r="D49" s="675">
        <f t="shared" ref="D49:AV49" si="6">IF(OR(D43&lt;$C$12,D43&gt;$E$12),0,1)</f>
        <v>0</v>
      </c>
      <c r="E49" s="675">
        <f t="shared" si="6"/>
        <v>0</v>
      </c>
      <c r="F49" s="675">
        <f t="shared" si="6"/>
        <v>1</v>
      </c>
      <c r="G49" s="675">
        <f t="shared" si="6"/>
        <v>1</v>
      </c>
      <c r="H49" s="675">
        <f t="shared" si="6"/>
        <v>0</v>
      </c>
      <c r="I49" s="675">
        <f t="shared" si="6"/>
        <v>0</v>
      </c>
      <c r="J49" s="675">
        <f t="shared" si="6"/>
        <v>0</v>
      </c>
      <c r="K49" s="675">
        <f t="shared" si="6"/>
        <v>0</v>
      </c>
      <c r="L49" s="675">
        <f t="shared" si="6"/>
        <v>0</v>
      </c>
      <c r="M49" s="675">
        <f t="shared" si="6"/>
        <v>0</v>
      </c>
      <c r="N49" s="675">
        <f t="shared" si="6"/>
        <v>0</v>
      </c>
      <c r="O49" s="675">
        <f t="shared" si="6"/>
        <v>0</v>
      </c>
      <c r="P49" s="675">
        <f t="shared" si="6"/>
        <v>0</v>
      </c>
      <c r="Q49" s="675">
        <f t="shared" si="6"/>
        <v>0</v>
      </c>
      <c r="R49" s="675">
        <f t="shared" si="6"/>
        <v>0</v>
      </c>
      <c r="S49" s="675">
        <f t="shared" si="6"/>
        <v>0</v>
      </c>
      <c r="T49" s="675">
        <f t="shared" si="6"/>
        <v>0</v>
      </c>
      <c r="U49" s="675">
        <f t="shared" si="6"/>
        <v>0</v>
      </c>
      <c r="V49" s="675">
        <f t="shared" si="6"/>
        <v>0</v>
      </c>
      <c r="W49" s="675">
        <f t="shared" si="6"/>
        <v>0</v>
      </c>
      <c r="X49" s="675">
        <f t="shared" si="6"/>
        <v>0</v>
      </c>
      <c r="Y49" s="675">
        <f t="shared" si="6"/>
        <v>0</v>
      </c>
      <c r="Z49" s="675">
        <f t="shared" si="6"/>
        <v>0</v>
      </c>
      <c r="AA49" s="675">
        <f t="shared" si="6"/>
        <v>0</v>
      </c>
      <c r="AB49" s="675">
        <f t="shared" si="6"/>
        <v>0</v>
      </c>
      <c r="AC49" s="675">
        <f t="shared" si="6"/>
        <v>0</v>
      </c>
      <c r="AD49" s="675">
        <f t="shared" si="6"/>
        <v>0</v>
      </c>
      <c r="AE49" s="675">
        <f t="shared" si="6"/>
        <v>0</v>
      </c>
      <c r="AF49" s="675">
        <f t="shared" si="6"/>
        <v>0</v>
      </c>
      <c r="AG49" s="675">
        <f t="shared" si="6"/>
        <v>0</v>
      </c>
      <c r="AH49" s="675">
        <f t="shared" si="6"/>
        <v>0</v>
      </c>
      <c r="AI49" s="675">
        <f t="shared" si="6"/>
        <v>0</v>
      </c>
      <c r="AJ49" s="675">
        <f t="shared" si="6"/>
        <v>0</v>
      </c>
      <c r="AK49" s="675">
        <f t="shared" si="6"/>
        <v>0</v>
      </c>
      <c r="AL49" s="675">
        <f t="shared" si="6"/>
        <v>0</v>
      </c>
      <c r="AM49" s="675">
        <f t="shared" si="6"/>
        <v>0</v>
      </c>
      <c r="AN49" s="675">
        <f t="shared" si="6"/>
        <v>0</v>
      </c>
      <c r="AO49" s="675">
        <f t="shared" si="6"/>
        <v>0</v>
      </c>
      <c r="AP49" s="675">
        <f t="shared" si="6"/>
        <v>0</v>
      </c>
      <c r="AQ49" s="675">
        <f t="shared" si="6"/>
        <v>0</v>
      </c>
      <c r="AR49" s="675">
        <f t="shared" si="6"/>
        <v>0</v>
      </c>
      <c r="AS49" s="675">
        <f t="shared" si="6"/>
        <v>0</v>
      </c>
      <c r="AT49" s="675">
        <f t="shared" si="6"/>
        <v>0</v>
      </c>
      <c r="AU49" s="675">
        <f t="shared" si="6"/>
        <v>0</v>
      </c>
      <c r="AV49" s="676">
        <f t="shared" si="6"/>
        <v>0</v>
      </c>
    </row>
    <row r="50" spans="2:48" s="15" customFormat="1" ht="13.5" outlineLevel="1" x14ac:dyDescent="0.25">
      <c r="B50" s="671" t="s">
        <v>1392</v>
      </c>
      <c r="C50" s="818" t="s">
        <v>1279</v>
      </c>
      <c r="D50" s="675">
        <f>IF(D43&lt;$C$16,0,1)</f>
        <v>0</v>
      </c>
      <c r="E50" s="675">
        <f t="shared" ref="E50:AV50" si="7">IF(E43&lt;$C$16,0,1)</f>
        <v>0</v>
      </c>
      <c r="F50" s="675">
        <f t="shared" si="7"/>
        <v>0</v>
      </c>
      <c r="G50" s="675">
        <f t="shared" si="7"/>
        <v>0</v>
      </c>
      <c r="H50" s="675">
        <f t="shared" si="7"/>
        <v>1</v>
      </c>
      <c r="I50" s="675">
        <f t="shared" si="7"/>
        <v>1</v>
      </c>
      <c r="J50" s="675">
        <f t="shared" si="7"/>
        <v>1</v>
      </c>
      <c r="K50" s="675">
        <f t="shared" si="7"/>
        <v>1</v>
      </c>
      <c r="L50" s="675">
        <f t="shared" si="7"/>
        <v>1</v>
      </c>
      <c r="M50" s="675">
        <f t="shared" si="7"/>
        <v>1</v>
      </c>
      <c r="N50" s="675">
        <f t="shared" si="7"/>
        <v>1</v>
      </c>
      <c r="O50" s="675">
        <f t="shared" si="7"/>
        <v>1</v>
      </c>
      <c r="P50" s="675">
        <f t="shared" si="7"/>
        <v>1</v>
      </c>
      <c r="Q50" s="675">
        <f t="shared" si="7"/>
        <v>1</v>
      </c>
      <c r="R50" s="675">
        <f t="shared" si="7"/>
        <v>1</v>
      </c>
      <c r="S50" s="675">
        <f t="shared" si="7"/>
        <v>1</v>
      </c>
      <c r="T50" s="675">
        <f t="shared" si="7"/>
        <v>1</v>
      </c>
      <c r="U50" s="675">
        <f t="shared" si="7"/>
        <v>1</v>
      </c>
      <c r="V50" s="675">
        <f t="shared" si="7"/>
        <v>1</v>
      </c>
      <c r="W50" s="675">
        <f t="shared" si="7"/>
        <v>1</v>
      </c>
      <c r="X50" s="675">
        <f t="shared" si="7"/>
        <v>1</v>
      </c>
      <c r="Y50" s="675">
        <f t="shared" si="7"/>
        <v>1</v>
      </c>
      <c r="Z50" s="675">
        <f t="shared" si="7"/>
        <v>1</v>
      </c>
      <c r="AA50" s="675">
        <f t="shared" si="7"/>
        <v>1</v>
      </c>
      <c r="AB50" s="675">
        <f t="shared" si="7"/>
        <v>1</v>
      </c>
      <c r="AC50" s="675">
        <f t="shared" si="7"/>
        <v>1</v>
      </c>
      <c r="AD50" s="675">
        <f t="shared" si="7"/>
        <v>1</v>
      </c>
      <c r="AE50" s="675">
        <f t="shared" si="7"/>
        <v>1</v>
      </c>
      <c r="AF50" s="675">
        <f t="shared" si="7"/>
        <v>1</v>
      </c>
      <c r="AG50" s="675">
        <f t="shared" si="7"/>
        <v>1</v>
      </c>
      <c r="AH50" s="675">
        <f t="shared" si="7"/>
        <v>1</v>
      </c>
      <c r="AI50" s="675">
        <f t="shared" si="7"/>
        <v>1</v>
      </c>
      <c r="AJ50" s="675">
        <f t="shared" si="7"/>
        <v>1</v>
      </c>
      <c r="AK50" s="675">
        <f t="shared" si="7"/>
        <v>1</v>
      </c>
      <c r="AL50" s="675">
        <f t="shared" si="7"/>
        <v>1</v>
      </c>
      <c r="AM50" s="675">
        <f t="shared" si="7"/>
        <v>1</v>
      </c>
      <c r="AN50" s="675">
        <f t="shared" si="7"/>
        <v>1</v>
      </c>
      <c r="AO50" s="675">
        <f t="shared" si="7"/>
        <v>1</v>
      </c>
      <c r="AP50" s="675">
        <f t="shared" si="7"/>
        <v>1</v>
      </c>
      <c r="AQ50" s="675">
        <f t="shared" si="7"/>
        <v>1</v>
      </c>
      <c r="AR50" s="675">
        <f t="shared" si="7"/>
        <v>1</v>
      </c>
      <c r="AS50" s="675">
        <f t="shared" si="7"/>
        <v>1</v>
      </c>
      <c r="AT50" s="675">
        <f t="shared" si="7"/>
        <v>1</v>
      </c>
      <c r="AU50" s="675">
        <f t="shared" si="7"/>
        <v>1</v>
      </c>
      <c r="AV50" s="676">
        <f t="shared" si="7"/>
        <v>1</v>
      </c>
    </row>
    <row r="51" spans="2:48" s="15" customFormat="1" ht="13.5" outlineLevel="1" x14ac:dyDescent="0.25">
      <c r="B51" s="671" t="s">
        <v>1393</v>
      </c>
      <c r="C51" s="818" t="s">
        <v>1232</v>
      </c>
      <c r="D51" s="675">
        <f>$C$17+D45*$F$8/$D$8+D46*$F$9/$D$9+D47*$F$10/$D$10</f>
        <v>350</v>
      </c>
      <c r="E51" s="675">
        <f>$C$17+SUM($D$45:E45)*$F$8/$D$8+SUM($D$46:E46)*$F$9/$D$9+SUM($D$47:E47)*$F$10/$D$10</f>
        <v>350</v>
      </c>
      <c r="F51" s="675">
        <f>$C$17+SUM($D$45:F45)*$F$8/$D$8+SUM($D$46:F46)*$F$9/$D$9+SUM($D$47:F47)*$F$10/$D$10</f>
        <v>412.5</v>
      </c>
      <c r="G51" s="675">
        <f>$C$17+SUM($D$45:G45)*$F$8/$D$8+SUM($D$46:G46)*$F$9/$D$9+SUM($D$47:G47)*$F$10/$D$10</f>
        <v>475</v>
      </c>
      <c r="H51" s="675">
        <f>$C$17+SUM($D$45:H45)*$F$8/$D$8+SUM($D$46:H46)*$F$9/$D$9+SUM($D$47:H47)*$F$10/$D$10</f>
        <v>537.5</v>
      </c>
      <c r="I51" s="675">
        <f>$C$17+SUM($D$45:I45)*$F$8/$D$8+SUM($D$46:I46)*$F$9/$D$9+SUM($D$47:I47)*$F$10/$D$10</f>
        <v>600</v>
      </c>
      <c r="J51" s="675">
        <f>$C$17+SUM($D$45:J45)*$F$8/$D$8+SUM($D$46:J46)*$F$9/$D$9+SUM($D$47:J47)*$F$10/$D$10</f>
        <v>662.5</v>
      </c>
      <c r="K51" s="675">
        <f>$C$17+SUM($D$45:K45)*$F$8/$D$8+SUM($D$46:K46)*$F$9/$D$9+SUM($D$47:K47)*$F$10/$D$10</f>
        <v>725</v>
      </c>
      <c r="L51" s="675">
        <f>$C$17+SUM($D$45:L45)*$F$8/$D$8+SUM($D$46:L46)*$F$9/$D$9+SUM($D$47:L47)*$F$10/$D$10</f>
        <v>787.5</v>
      </c>
      <c r="M51" s="675">
        <f>$C$17+SUM($D$45:M45)*$F$8/$D$8+SUM($D$46:M46)*$F$9/$D$9+SUM($D$47:M47)*$F$10/$D$10</f>
        <v>850</v>
      </c>
      <c r="N51" s="675">
        <f>$C$17+SUM($D$45:N45)*$F$8/$D$8+SUM($D$46:N46)*$F$9/$D$9+SUM($D$47:N47)*$F$10/$D$10</f>
        <v>850</v>
      </c>
      <c r="O51" s="675">
        <f>$C$17+SUM($D$45:O45)*$F$8/$D$8+SUM($D$46:O46)*$F$9/$D$9+SUM($D$47:O47)*$F$10/$D$10</f>
        <v>850</v>
      </c>
      <c r="P51" s="675">
        <f>$C$17+SUM($D$45:P45)*$F$8/$D$8+SUM($D$46:P46)*$F$9/$D$9+SUM($D$47:P47)*$F$10/$D$10</f>
        <v>850</v>
      </c>
      <c r="Q51" s="675">
        <f>$C$17+SUM($D$45:Q45)*$F$8/$D$8+SUM($D$46:Q46)*$F$9/$D$9+SUM($D$47:Q47)*$F$10/$D$10</f>
        <v>850</v>
      </c>
      <c r="R51" s="675">
        <f>$C$17+SUM($D$45:R45)*$F$8/$D$8+SUM($D$46:R46)*$F$9/$D$9+SUM($D$47:R47)*$F$10/$D$10</f>
        <v>850</v>
      </c>
      <c r="S51" s="675">
        <f>$C$17+SUM($D$45:S45)*$F$8/$D$8+SUM($D$46:S46)*$F$9/$D$9+SUM($D$47:S47)*$F$10/$D$10</f>
        <v>850</v>
      </c>
      <c r="T51" s="675">
        <f>$C$17+SUM($D$45:T45)*$F$8/$D$8+SUM($D$46:T46)*$F$9/$D$9+SUM($D$47:T47)*$F$10/$D$10</f>
        <v>850</v>
      </c>
      <c r="U51" s="675">
        <f>$C$17+SUM($D$45:U45)*$F$8/$D$8+SUM($D$46:U46)*$F$9/$D$9+SUM($D$47:U47)*$F$10/$D$10</f>
        <v>850</v>
      </c>
      <c r="V51" s="675">
        <f>$C$17+SUM($D$45:V45)*$F$8/$D$8+SUM($D$46:V46)*$F$9/$D$9+SUM($D$47:V47)*$F$10/$D$10</f>
        <v>850</v>
      </c>
      <c r="W51" s="675">
        <f>$C$17+SUM($D$45:W45)*$F$8/$D$8+SUM($D$46:W46)*$F$9/$D$9+SUM($D$47:W47)*$F$10/$D$10</f>
        <v>850</v>
      </c>
      <c r="X51" s="675">
        <f>$C$17+SUM($D$45:X45)*$F$8/$D$8+SUM($D$46:X46)*$F$9/$D$9+SUM($D$47:X47)*$F$10/$D$10</f>
        <v>850</v>
      </c>
      <c r="Y51" s="675">
        <f>$C$17+SUM($D$45:Y45)*$F$8/$D$8+SUM($D$46:Y46)*$F$9/$D$9+SUM($D$47:Y47)*$F$10/$D$10</f>
        <v>850</v>
      </c>
      <c r="Z51" s="675">
        <f>$C$17+SUM($D$45:Z45)*$F$8/$D$8+SUM($D$46:Z46)*$F$9/$D$9+SUM($D$47:Z47)*$F$10/$D$10</f>
        <v>850</v>
      </c>
      <c r="AA51" s="675">
        <f>$C$17+SUM($D$45:AA45)*$F$8/$D$8+SUM($D$46:AA46)*$F$9/$D$9+SUM($D$47:AA47)*$F$10/$D$10</f>
        <v>850</v>
      </c>
      <c r="AB51" s="675">
        <f>$C$17+SUM($D$45:AB45)*$F$8/$D$8+SUM($D$46:AB46)*$F$9/$D$9+SUM($D$47:AB47)*$F$10/$D$10</f>
        <v>850</v>
      </c>
      <c r="AC51" s="675">
        <f>$C$17+SUM($D$45:AC45)*$F$8/$D$8+SUM($D$46:AC46)*$F$9/$D$9+SUM($D$47:AC47)*$F$10/$D$10</f>
        <v>850</v>
      </c>
      <c r="AD51" s="675">
        <f>$C$17+SUM($D$45:AD45)*$F$8/$D$8+SUM($D$46:AD46)*$F$9/$D$9+SUM($D$47:AD47)*$F$10/$D$10</f>
        <v>850</v>
      </c>
      <c r="AE51" s="675">
        <f>$C$17+SUM($D$45:AE45)*$F$8/$D$8+SUM($D$46:AE46)*$F$9/$D$9+SUM($D$47:AE47)*$F$10/$D$10</f>
        <v>850</v>
      </c>
      <c r="AF51" s="675">
        <f>$C$17+SUM($D$45:AF45)*$F$8/$D$8+SUM($D$46:AF46)*$F$9/$D$9+SUM($D$47:AF47)*$F$10/$D$10</f>
        <v>850</v>
      </c>
      <c r="AG51" s="675">
        <f>$C$17+SUM($D$45:AG45)*$F$8/$D$8+SUM($D$46:AG46)*$F$9/$D$9+SUM($D$47:AG47)*$F$10/$D$10</f>
        <v>850</v>
      </c>
      <c r="AH51" s="675">
        <f>$C$17+SUM($D$45:AH45)*$F$8/$D$8+SUM($D$46:AH46)*$F$9/$D$9+SUM($D$47:AH47)*$F$10/$D$10</f>
        <v>850</v>
      </c>
      <c r="AI51" s="675">
        <f>$C$17+SUM($D$45:AI45)*$F$8/$D$8+SUM($D$46:AI46)*$F$9/$D$9+SUM($D$47:AI47)*$F$10/$D$10</f>
        <v>850</v>
      </c>
      <c r="AJ51" s="675">
        <f>$C$17+SUM($D$45:AJ45)*$F$8/$D$8+SUM($D$46:AJ46)*$F$9/$D$9+SUM($D$47:AJ47)*$F$10/$D$10</f>
        <v>850</v>
      </c>
      <c r="AK51" s="675">
        <f>$C$17+SUM($D$45:AK45)*$F$8/$D$8+SUM($D$46:AK46)*$F$9/$D$9+SUM($D$47:AK47)*$F$10/$D$10</f>
        <v>850</v>
      </c>
      <c r="AL51" s="675">
        <f>$C$17+SUM($D$45:AL45)*$F$8/$D$8+SUM($D$46:AL46)*$F$9/$D$9+SUM($D$47:AL47)*$F$10/$D$10</f>
        <v>850</v>
      </c>
      <c r="AM51" s="675">
        <f>$C$17+SUM($D$45:AM45)*$F$8/$D$8+SUM($D$46:AM46)*$F$9/$D$9+SUM($D$47:AM47)*$F$10/$D$10</f>
        <v>850</v>
      </c>
      <c r="AN51" s="675">
        <f>$C$17+SUM($D$45:AN45)*$F$8/$D$8+SUM($D$46:AN46)*$F$9/$D$9+SUM($D$47:AN47)*$F$10/$D$10</f>
        <v>850</v>
      </c>
      <c r="AO51" s="675">
        <f>$C$17+SUM($D$45:AO45)*$F$8/$D$8+SUM($D$46:AO46)*$F$9/$D$9+SUM($D$47:AO47)*$F$10/$D$10</f>
        <v>850</v>
      </c>
      <c r="AP51" s="675">
        <f>$C$17+SUM($D$45:AP45)*$F$8/$D$8+SUM($D$46:AP46)*$F$9/$D$9+SUM($D$47:AP47)*$F$10/$D$10</f>
        <v>850</v>
      </c>
      <c r="AQ51" s="675">
        <f>$C$17+SUM($D$45:AQ45)*$F$8/$D$8+SUM($D$46:AQ46)*$F$9/$D$9+SUM($D$47:AQ47)*$F$10/$D$10</f>
        <v>850</v>
      </c>
      <c r="AR51" s="675">
        <f>$C$17+SUM($D$45:AR45)*$F$8/$D$8+SUM($D$46:AR46)*$F$9/$D$9+SUM($D$47:AR47)*$F$10/$D$10</f>
        <v>850</v>
      </c>
      <c r="AS51" s="675">
        <f>$C$17+SUM($D$45:AS45)*$F$8/$D$8+SUM($D$46:AS46)*$F$9/$D$9+SUM($D$47:AS47)*$F$10/$D$10</f>
        <v>850</v>
      </c>
      <c r="AT51" s="675">
        <f>$C$17+SUM($D$45:AT45)*$F$8/$D$8+SUM($D$46:AT46)*$F$9/$D$9+SUM($D$47:AT47)*$F$10/$D$10</f>
        <v>850</v>
      </c>
      <c r="AU51" s="675">
        <f>$C$17+SUM($D$45:AU45)*$F$8/$D$8+SUM($D$46:AU46)*$F$9/$D$9+SUM($D$47:AU47)*$F$10/$D$10</f>
        <v>850</v>
      </c>
      <c r="AV51" s="676">
        <f>$C$17+SUM($D$45:AV45)*$F$8/$D$8+SUM($D$46:AV46)*$F$9/$D$9+SUM($D$47:AV47)*$F$10/$D$10</f>
        <v>850</v>
      </c>
    </row>
    <row r="52" spans="2:48" s="15" customFormat="1" ht="13.5" outlineLevel="1" x14ac:dyDescent="0.25">
      <c r="B52" s="671" t="s">
        <v>1394</v>
      </c>
      <c r="C52" s="818" t="s">
        <v>1238</v>
      </c>
      <c r="D52" s="675">
        <f>D48*$F$11/$D$11</f>
        <v>0</v>
      </c>
      <c r="E52" s="675">
        <f>D52+E48*$F$11/$D$11</f>
        <v>0</v>
      </c>
      <c r="F52" s="675">
        <f t="shared" ref="F52:AV52" si="8">E52+F48*$F$11/$D$11</f>
        <v>25</v>
      </c>
      <c r="G52" s="675">
        <f t="shared" si="8"/>
        <v>50</v>
      </c>
      <c r="H52" s="675">
        <f t="shared" si="8"/>
        <v>75</v>
      </c>
      <c r="I52" s="675">
        <f t="shared" si="8"/>
        <v>100</v>
      </c>
      <c r="J52" s="675">
        <f t="shared" si="8"/>
        <v>125</v>
      </c>
      <c r="K52" s="675">
        <f t="shared" si="8"/>
        <v>150</v>
      </c>
      <c r="L52" s="675">
        <f t="shared" si="8"/>
        <v>175</v>
      </c>
      <c r="M52" s="675">
        <f t="shared" si="8"/>
        <v>200</v>
      </c>
      <c r="N52" s="675">
        <f t="shared" si="8"/>
        <v>200</v>
      </c>
      <c r="O52" s="675">
        <f t="shared" si="8"/>
        <v>200</v>
      </c>
      <c r="P52" s="675">
        <f t="shared" si="8"/>
        <v>200</v>
      </c>
      <c r="Q52" s="675">
        <f t="shared" si="8"/>
        <v>200</v>
      </c>
      <c r="R52" s="675">
        <f t="shared" si="8"/>
        <v>200</v>
      </c>
      <c r="S52" s="675">
        <f t="shared" si="8"/>
        <v>200</v>
      </c>
      <c r="T52" s="675">
        <f t="shared" si="8"/>
        <v>200</v>
      </c>
      <c r="U52" s="675">
        <f t="shared" si="8"/>
        <v>200</v>
      </c>
      <c r="V52" s="675">
        <f t="shared" si="8"/>
        <v>200</v>
      </c>
      <c r="W52" s="675">
        <f t="shared" si="8"/>
        <v>200</v>
      </c>
      <c r="X52" s="675">
        <f t="shared" si="8"/>
        <v>200</v>
      </c>
      <c r="Y52" s="675">
        <f t="shared" si="8"/>
        <v>200</v>
      </c>
      <c r="Z52" s="675">
        <f t="shared" si="8"/>
        <v>200</v>
      </c>
      <c r="AA52" s="675">
        <f t="shared" si="8"/>
        <v>200</v>
      </c>
      <c r="AB52" s="675">
        <f t="shared" si="8"/>
        <v>200</v>
      </c>
      <c r="AC52" s="675">
        <f t="shared" si="8"/>
        <v>200</v>
      </c>
      <c r="AD52" s="675">
        <f t="shared" si="8"/>
        <v>200</v>
      </c>
      <c r="AE52" s="675">
        <f t="shared" si="8"/>
        <v>200</v>
      </c>
      <c r="AF52" s="675">
        <f t="shared" si="8"/>
        <v>200</v>
      </c>
      <c r="AG52" s="675">
        <f t="shared" si="8"/>
        <v>200</v>
      </c>
      <c r="AH52" s="675">
        <f t="shared" si="8"/>
        <v>200</v>
      </c>
      <c r="AI52" s="675">
        <f t="shared" si="8"/>
        <v>200</v>
      </c>
      <c r="AJ52" s="675">
        <f t="shared" si="8"/>
        <v>200</v>
      </c>
      <c r="AK52" s="675">
        <f t="shared" si="8"/>
        <v>200</v>
      </c>
      <c r="AL52" s="675">
        <f t="shared" si="8"/>
        <v>200</v>
      </c>
      <c r="AM52" s="675">
        <f t="shared" si="8"/>
        <v>200</v>
      </c>
      <c r="AN52" s="675">
        <f t="shared" si="8"/>
        <v>200</v>
      </c>
      <c r="AO52" s="675">
        <f t="shared" si="8"/>
        <v>200</v>
      </c>
      <c r="AP52" s="675">
        <f t="shared" si="8"/>
        <v>200</v>
      </c>
      <c r="AQ52" s="675">
        <f t="shared" si="8"/>
        <v>200</v>
      </c>
      <c r="AR52" s="675">
        <f t="shared" si="8"/>
        <v>200</v>
      </c>
      <c r="AS52" s="675">
        <f t="shared" si="8"/>
        <v>200</v>
      </c>
      <c r="AT52" s="675">
        <f t="shared" si="8"/>
        <v>200</v>
      </c>
      <c r="AU52" s="675">
        <f t="shared" si="8"/>
        <v>200</v>
      </c>
      <c r="AV52" s="676">
        <f t="shared" si="8"/>
        <v>200</v>
      </c>
    </row>
    <row r="53" spans="2:48" s="15" customFormat="1" ht="13.5" outlineLevel="1" x14ac:dyDescent="0.25">
      <c r="B53" s="689" t="s">
        <v>1271</v>
      </c>
      <c r="C53" s="815"/>
      <c r="D53" s="686"/>
      <c r="E53" s="686"/>
      <c r="F53" s="686"/>
      <c r="G53" s="686"/>
      <c r="H53" s="686"/>
      <c r="I53" s="686"/>
      <c r="J53" s="686"/>
      <c r="K53" s="686"/>
      <c r="L53" s="686"/>
      <c r="M53" s="686"/>
      <c r="N53" s="686"/>
      <c r="O53" s="686"/>
      <c r="P53" s="686"/>
      <c r="Q53" s="686"/>
      <c r="R53" s="686"/>
      <c r="S53" s="686"/>
      <c r="T53" s="686"/>
      <c r="U53" s="686"/>
      <c r="V53" s="686"/>
      <c r="W53" s="686"/>
      <c r="X53" s="686"/>
      <c r="Y53" s="686"/>
      <c r="Z53" s="686"/>
      <c r="AA53" s="686"/>
      <c r="AB53" s="686"/>
      <c r="AC53" s="686"/>
      <c r="AD53" s="686"/>
      <c r="AE53" s="686"/>
      <c r="AF53" s="686"/>
      <c r="AG53" s="686"/>
      <c r="AH53" s="686"/>
      <c r="AI53" s="686"/>
      <c r="AJ53" s="686"/>
      <c r="AK53" s="686"/>
      <c r="AL53" s="686"/>
      <c r="AM53" s="686"/>
      <c r="AN53" s="686"/>
      <c r="AO53" s="686"/>
      <c r="AP53" s="686"/>
      <c r="AQ53" s="686"/>
      <c r="AR53" s="686"/>
      <c r="AS53" s="686"/>
      <c r="AT53" s="686"/>
      <c r="AU53" s="686"/>
      <c r="AV53" s="687"/>
    </row>
    <row r="54" spans="2:48" s="15" customFormat="1" ht="13.5" outlineLevel="1" x14ac:dyDescent="0.25">
      <c r="B54" s="671" t="s">
        <v>1345</v>
      </c>
      <c r="C54" s="679" t="s">
        <v>1243</v>
      </c>
      <c r="D54" s="682">
        <f>(D45*$F$8*$G$8/$D$8+D46*$F$9*$G$9/$D$9+D47*$F$10*$G$10/$D$10+D48*$F$11*$G$11/$D$11+D49*$F$12*$G$12/$D$12)</f>
        <v>0</v>
      </c>
      <c r="E54" s="682">
        <f t="shared" ref="E54:AV54" si="9">(E45*$F$8*$G$8/$D$8+E46*$F$9*$G$9/$D$9+E47*$F$10*$G$10/$D$10+E48*$F$11*$G$11/$D$11+E49*$F$12*$G$12/$D$12)</f>
        <v>0</v>
      </c>
      <c r="F54" s="682">
        <f t="shared" si="9"/>
        <v>15375</v>
      </c>
      <c r="G54" s="682">
        <f t="shared" si="9"/>
        <v>15375</v>
      </c>
      <c r="H54" s="682">
        <f t="shared" si="9"/>
        <v>15375</v>
      </c>
      <c r="I54" s="682">
        <f t="shared" si="9"/>
        <v>15375</v>
      </c>
      <c r="J54" s="682">
        <f t="shared" si="9"/>
        <v>15375</v>
      </c>
      <c r="K54" s="682">
        <f t="shared" si="9"/>
        <v>15375</v>
      </c>
      <c r="L54" s="682">
        <f t="shared" si="9"/>
        <v>15375</v>
      </c>
      <c r="M54" s="682">
        <f t="shared" si="9"/>
        <v>15375</v>
      </c>
      <c r="N54" s="682">
        <f t="shared" si="9"/>
        <v>0</v>
      </c>
      <c r="O54" s="682">
        <f t="shared" si="9"/>
        <v>0</v>
      </c>
      <c r="P54" s="682">
        <f t="shared" si="9"/>
        <v>0</v>
      </c>
      <c r="Q54" s="682">
        <f t="shared" si="9"/>
        <v>0</v>
      </c>
      <c r="R54" s="682">
        <f t="shared" si="9"/>
        <v>0</v>
      </c>
      <c r="S54" s="682">
        <f t="shared" si="9"/>
        <v>0</v>
      </c>
      <c r="T54" s="682">
        <f t="shared" si="9"/>
        <v>0</v>
      </c>
      <c r="U54" s="682">
        <f t="shared" si="9"/>
        <v>0</v>
      </c>
      <c r="V54" s="682">
        <f t="shared" si="9"/>
        <v>0</v>
      </c>
      <c r="W54" s="682">
        <f t="shared" si="9"/>
        <v>0</v>
      </c>
      <c r="X54" s="682">
        <f t="shared" si="9"/>
        <v>0</v>
      </c>
      <c r="Y54" s="682">
        <f t="shared" si="9"/>
        <v>0</v>
      </c>
      <c r="Z54" s="682">
        <f t="shared" si="9"/>
        <v>0</v>
      </c>
      <c r="AA54" s="682">
        <f t="shared" si="9"/>
        <v>0</v>
      </c>
      <c r="AB54" s="682">
        <f t="shared" si="9"/>
        <v>0</v>
      </c>
      <c r="AC54" s="682">
        <f t="shared" si="9"/>
        <v>0</v>
      </c>
      <c r="AD54" s="682">
        <f t="shared" si="9"/>
        <v>0</v>
      </c>
      <c r="AE54" s="682">
        <f t="shared" si="9"/>
        <v>0</v>
      </c>
      <c r="AF54" s="682">
        <f t="shared" si="9"/>
        <v>0</v>
      </c>
      <c r="AG54" s="682">
        <f t="shared" si="9"/>
        <v>0</v>
      </c>
      <c r="AH54" s="682">
        <f t="shared" si="9"/>
        <v>0</v>
      </c>
      <c r="AI54" s="682">
        <f t="shared" si="9"/>
        <v>0</v>
      </c>
      <c r="AJ54" s="682">
        <f t="shared" si="9"/>
        <v>0</v>
      </c>
      <c r="AK54" s="682">
        <f t="shared" si="9"/>
        <v>0</v>
      </c>
      <c r="AL54" s="682">
        <f t="shared" si="9"/>
        <v>0</v>
      </c>
      <c r="AM54" s="682">
        <f t="shared" si="9"/>
        <v>0</v>
      </c>
      <c r="AN54" s="682">
        <f t="shared" si="9"/>
        <v>0</v>
      </c>
      <c r="AO54" s="682">
        <f t="shared" si="9"/>
        <v>0</v>
      </c>
      <c r="AP54" s="682">
        <f t="shared" si="9"/>
        <v>0</v>
      </c>
      <c r="AQ54" s="682">
        <f t="shared" si="9"/>
        <v>0</v>
      </c>
      <c r="AR54" s="682">
        <f t="shared" si="9"/>
        <v>0</v>
      </c>
      <c r="AS54" s="682">
        <f t="shared" si="9"/>
        <v>0</v>
      </c>
      <c r="AT54" s="682">
        <f t="shared" si="9"/>
        <v>0</v>
      </c>
      <c r="AU54" s="682">
        <f t="shared" si="9"/>
        <v>0</v>
      </c>
      <c r="AV54" s="428">
        <f t="shared" si="9"/>
        <v>0</v>
      </c>
    </row>
    <row r="55" spans="2:48" s="15" customFormat="1" ht="13.5" outlineLevel="1" x14ac:dyDescent="0.25">
      <c r="B55" s="671" t="s">
        <v>1395</v>
      </c>
      <c r="C55" s="679" t="s">
        <v>1243</v>
      </c>
      <c r="D55" s="682">
        <f t="shared" ref="D55:AV55" si="10">$C$17*($C$14+$C$15)/1000*D50+(D51-$C$17)*$H$8+D52*$H$11+IF(D43&gt;$E$12,$H$12*$F$12,0)</f>
        <v>0</v>
      </c>
      <c r="E55" s="682">
        <f t="shared" si="10"/>
        <v>0</v>
      </c>
      <c r="F55" s="682">
        <f t="shared" si="10"/>
        <v>200</v>
      </c>
      <c r="G55" s="682">
        <f t="shared" si="10"/>
        <v>400</v>
      </c>
      <c r="H55" s="682">
        <f t="shared" si="10"/>
        <v>950</v>
      </c>
      <c r="I55" s="682">
        <f t="shared" si="10"/>
        <v>1150</v>
      </c>
      <c r="J55" s="682">
        <f t="shared" si="10"/>
        <v>1350</v>
      </c>
      <c r="K55" s="682">
        <f t="shared" si="10"/>
        <v>1550</v>
      </c>
      <c r="L55" s="682">
        <f t="shared" si="10"/>
        <v>1750</v>
      </c>
      <c r="M55" s="682">
        <f t="shared" si="10"/>
        <v>1950</v>
      </c>
      <c r="N55" s="682">
        <f t="shared" si="10"/>
        <v>1950</v>
      </c>
      <c r="O55" s="682">
        <f t="shared" si="10"/>
        <v>1950</v>
      </c>
      <c r="P55" s="682">
        <f t="shared" si="10"/>
        <v>1950</v>
      </c>
      <c r="Q55" s="682">
        <f t="shared" si="10"/>
        <v>1950</v>
      </c>
      <c r="R55" s="682">
        <f t="shared" si="10"/>
        <v>1950</v>
      </c>
      <c r="S55" s="682">
        <f t="shared" si="10"/>
        <v>1950</v>
      </c>
      <c r="T55" s="682">
        <f t="shared" si="10"/>
        <v>1950</v>
      </c>
      <c r="U55" s="682">
        <f t="shared" si="10"/>
        <v>1950</v>
      </c>
      <c r="V55" s="682">
        <f t="shared" si="10"/>
        <v>1950</v>
      </c>
      <c r="W55" s="682">
        <f t="shared" si="10"/>
        <v>1950</v>
      </c>
      <c r="X55" s="682">
        <f t="shared" si="10"/>
        <v>1950</v>
      </c>
      <c r="Y55" s="682">
        <f t="shared" si="10"/>
        <v>1950</v>
      </c>
      <c r="Z55" s="682">
        <f t="shared" si="10"/>
        <v>1950</v>
      </c>
      <c r="AA55" s="682">
        <f t="shared" si="10"/>
        <v>1950</v>
      </c>
      <c r="AB55" s="682">
        <f t="shared" si="10"/>
        <v>1950</v>
      </c>
      <c r="AC55" s="682">
        <f t="shared" si="10"/>
        <v>1950</v>
      </c>
      <c r="AD55" s="682">
        <f t="shared" si="10"/>
        <v>1950</v>
      </c>
      <c r="AE55" s="682">
        <f t="shared" si="10"/>
        <v>1950</v>
      </c>
      <c r="AF55" s="682">
        <f t="shared" si="10"/>
        <v>1950</v>
      </c>
      <c r="AG55" s="682">
        <f t="shared" si="10"/>
        <v>1950</v>
      </c>
      <c r="AH55" s="682">
        <f t="shared" si="10"/>
        <v>1950</v>
      </c>
      <c r="AI55" s="682">
        <f t="shared" si="10"/>
        <v>1950</v>
      </c>
      <c r="AJ55" s="682">
        <f t="shared" si="10"/>
        <v>1950</v>
      </c>
      <c r="AK55" s="682">
        <f t="shared" si="10"/>
        <v>1950</v>
      </c>
      <c r="AL55" s="682">
        <f t="shared" si="10"/>
        <v>1950</v>
      </c>
      <c r="AM55" s="682">
        <f t="shared" si="10"/>
        <v>1950</v>
      </c>
      <c r="AN55" s="682">
        <f t="shared" si="10"/>
        <v>1950</v>
      </c>
      <c r="AO55" s="682">
        <f t="shared" si="10"/>
        <v>1950</v>
      </c>
      <c r="AP55" s="682">
        <f t="shared" si="10"/>
        <v>1950</v>
      </c>
      <c r="AQ55" s="682">
        <f t="shared" si="10"/>
        <v>1950</v>
      </c>
      <c r="AR55" s="682">
        <f t="shared" si="10"/>
        <v>1950</v>
      </c>
      <c r="AS55" s="682">
        <f t="shared" si="10"/>
        <v>1950</v>
      </c>
      <c r="AT55" s="682">
        <f t="shared" si="10"/>
        <v>1950</v>
      </c>
      <c r="AU55" s="682">
        <f t="shared" si="10"/>
        <v>1950</v>
      </c>
      <c r="AV55" s="428">
        <f t="shared" si="10"/>
        <v>1950</v>
      </c>
    </row>
    <row r="56" spans="2:48" s="15" customFormat="1" ht="13.5" outlineLevel="1" x14ac:dyDescent="0.25">
      <c r="B56" s="671" t="s">
        <v>1347</v>
      </c>
      <c r="C56" s="679" t="s">
        <v>1243</v>
      </c>
      <c r="D56" s="682">
        <f>-(D61*$C$20+D63*$C$21)*(1+$C$22)</f>
        <v>0</v>
      </c>
      <c r="E56" s="682">
        <f t="shared" ref="E56:AV56" si="11">-(E61*$C$20+E63*$C$21)*(1+$C$22)</f>
        <v>0</v>
      </c>
      <c r="F56" s="682">
        <f t="shared" si="11"/>
        <v>0</v>
      </c>
      <c r="G56" s="682">
        <f t="shared" si="11"/>
        <v>0</v>
      </c>
      <c r="H56" s="682">
        <f t="shared" si="11"/>
        <v>0</v>
      </c>
      <c r="I56" s="682">
        <f t="shared" si="11"/>
        <v>0</v>
      </c>
      <c r="J56" s="682">
        <f t="shared" si="11"/>
        <v>0</v>
      </c>
      <c r="K56" s="682">
        <f t="shared" si="11"/>
        <v>0</v>
      </c>
      <c r="L56" s="682">
        <f t="shared" si="11"/>
        <v>0</v>
      </c>
      <c r="M56" s="682">
        <f t="shared" si="11"/>
        <v>0</v>
      </c>
      <c r="N56" s="682">
        <f t="shared" si="11"/>
        <v>-1840.9782359623673</v>
      </c>
      <c r="O56" s="682">
        <f t="shared" si="11"/>
        <v>-1799.5789812334954</v>
      </c>
      <c r="P56" s="682">
        <f t="shared" si="11"/>
        <v>-1759.5566271525058</v>
      </c>
      <c r="Q56" s="682">
        <f t="shared" si="11"/>
        <v>-1720.8818260149415</v>
      </c>
      <c r="R56" s="682">
        <f t="shared" si="11"/>
        <v>-1683.5257933653845</v>
      </c>
      <c r="S56" s="682">
        <f t="shared" si="11"/>
        <v>-1647.4602975329167</v>
      </c>
      <c r="T56" s="682">
        <f t="shared" si="11"/>
        <v>-1612.6576493588291</v>
      </c>
      <c r="U56" s="682">
        <f t="shared" si="11"/>
        <v>-1579.09069211307</v>
      </c>
      <c r="V56" s="682">
        <f t="shared" si="11"/>
        <v>-1546.7327915959681</v>
      </c>
      <c r="W56" s="682">
        <f t="shared" si="11"/>
        <v>-1515.5578264218416</v>
      </c>
      <c r="X56" s="682">
        <f t="shared" si="11"/>
        <v>-1485.5401784811675</v>
      </c>
      <c r="Y56" s="682">
        <f t="shared" si="11"/>
        <v>-1456.6547235780324</v>
      </c>
      <c r="Z56" s="682">
        <f t="shared" si="11"/>
        <v>-1428.8768222396693</v>
      </c>
      <c r="AA56" s="682">
        <f t="shared" si="11"/>
        <v>-1402.1823106949141</v>
      </c>
      <c r="AB56" s="682">
        <f t="shared" si="11"/>
        <v>-1376.5474920185034</v>
      </c>
      <c r="AC56" s="682">
        <f t="shared" si="11"/>
        <v>-1364.4294862530451</v>
      </c>
      <c r="AD56" s="682">
        <f t="shared" si="11"/>
        <v>-1352.313313064222</v>
      </c>
      <c r="AE56" s="682">
        <f t="shared" si="11"/>
        <v>-1340.1987727992148</v>
      </c>
      <c r="AF56" s="682">
        <f t="shared" si="11"/>
        <v>-1328.085667648525</v>
      </c>
      <c r="AG56" s="682">
        <f t="shared" si="11"/>
        <v>-1315.9738016331744</v>
      </c>
      <c r="AH56" s="682">
        <f t="shared" si="11"/>
        <v>-1303.8629805919772</v>
      </c>
      <c r="AI56" s="682">
        <f t="shared" si="11"/>
        <v>-1291.7530121689017</v>
      </c>
      <c r="AJ56" s="682">
        <f t="shared" si="11"/>
        <v>-1279.6437058005017</v>
      </c>
      <c r="AK56" s="682">
        <f t="shared" si="11"/>
        <v>-1267.5348727034307</v>
      </c>
      <c r="AL56" s="682">
        <f t="shared" si="11"/>
        <v>-1255.4263258620344</v>
      </c>
      <c r="AM56" s="682">
        <f t="shared" si="11"/>
        <v>-1243.3178800160194</v>
      </c>
      <c r="AN56" s="682">
        <f t="shared" si="11"/>
        <v>-1231.2093516481982</v>
      </c>
      <c r="AO56" s="682">
        <f t="shared" si="11"/>
        <v>-1219.1005589723131</v>
      </c>
      <c r="AP56" s="682">
        <f t="shared" si="11"/>
        <v>-1206.9913219209343</v>
      </c>
      <c r="AQ56" s="682">
        <f t="shared" si="11"/>
        <v>-1194.8814621334332</v>
      </c>
      <c r="AR56" s="682">
        <f t="shared" si="11"/>
        <v>-1182.7708029440341</v>
      </c>
      <c r="AS56" s="682">
        <f t="shared" si="11"/>
        <v>-1170.6591693699365</v>
      </c>
      <c r="AT56" s="682">
        <f t="shared" si="11"/>
        <v>-1158.5463880995167</v>
      </c>
      <c r="AU56" s="682">
        <f t="shared" si="11"/>
        <v>-1146.4322874805955</v>
      </c>
      <c r="AV56" s="428">
        <f t="shared" si="11"/>
        <v>-1134.3166975087888</v>
      </c>
    </row>
    <row r="57" spans="2:48" s="39" customFormat="1" ht="13.5" outlineLevel="1" x14ac:dyDescent="0.25">
      <c r="B57" s="689" t="s">
        <v>1114</v>
      </c>
      <c r="C57" s="693" t="s">
        <v>1243</v>
      </c>
      <c r="D57" s="710">
        <f>D54+D55+D56</f>
        <v>0</v>
      </c>
      <c r="E57" s="710">
        <f t="shared" ref="E57:AV57" si="12">E54+E55+E56</f>
        <v>0</v>
      </c>
      <c r="F57" s="710">
        <f t="shared" si="12"/>
        <v>15575</v>
      </c>
      <c r="G57" s="710">
        <f t="shared" si="12"/>
        <v>15775</v>
      </c>
      <c r="H57" s="710">
        <f t="shared" si="12"/>
        <v>16325</v>
      </c>
      <c r="I57" s="710">
        <f t="shared" si="12"/>
        <v>16525</v>
      </c>
      <c r="J57" s="710">
        <f t="shared" si="12"/>
        <v>16725</v>
      </c>
      <c r="K57" s="710">
        <f t="shared" si="12"/>
        <v>16925</v>
      </c>
      <c r="L57" s="710">
        <f t="shared" si="12"/>
        <v>17125</v>
      </c>
      <c r="M57" s="710">
        <f t="shared" si="12"/>
        <v>17325</v>
      </c>
      <c r="N57" s="710">
        <f t="shared" si="12"/>
        <v>109.02176403763269</v>
      </c>
      <c r="O57" s="710">
        <f t="shared" si="12"/>
        <v>150.42101876650463</v>
      </c>
      <c r="P57" s="710">
        <f t="shared" si="12"/>
        <v>190.44337284749417</v>
      </c>
      <c r="Q57" s="710">
        <f t="shared" si="12"/>
        <v>229.11817398505855</v>
      </c>
      <c r="R57" s="710">
        <f t="shared" si="12"/>
        <v>266.47420663461548</v>
      </c>
      <c r="S57" s="710">
        <f t="shared" si="12"/>
        <v>302.53970246708332</v>
      </c>
      <c r="T57" s="710">
        <f t="shared" si="12"/>
        <v>337.34235064117092</v>
      </c>
      <c r="U57" s="710">
        <f t="shared" si="12"/>
        <v>370.90930788693004</v>
      </c>
      <c r="V57" s="710">
        <f t="shared" si="12"/>
        <v>403.26720840403186</v>
      </c>
      <c r="W57" s="710">
        <f t="shared" si="12"/>
        <v>434.44217357815842</v>
      </c>
      <c r="X57" s="710">
        <f t="shared" si="12"/>
        <v>464.45982151883254</v>
      </c>
      <c r="Y57" s="710">
        <f t="shared" si="12"/>
        <v>493.34527642196758</v>
      </c>
      <c r="Z57" s="710">
        <f t="shared" si="12"/>
        <v>521.12317776033069</v>
      </c>
      <c r="AA57" s="710">
        <f t="shared" si="12"/>
        <v>547.81768930508588</v>
      </c>
      <c r="AB57" s="710">
        <f t="shared" si="12"/>
        <v>573.45250798149664</v>
      </c>
      <c r="AC57" s="710">
        <f t="shared" si="12"/>
        <v>585.57051374695493</v>
      </c>
      <c r="AD57" s="710">
        <f t="shared" si="12"/>
        <v>597.68668693577797</v>
      </c>
      <c r="AE57" s="710">
        <f t="shared" si="12"/>
        <v>609.80122720078521</v>
      </c>
      <c r="AF57" s="710">
        <f t="shared" si="12"/>
        <v>621.91433235147497</v>
      </c>
      <c r="AG57" s="710">
        <f t="shared" si="12"/>
        <v>634.02619836682561</v>
      </c>
      <c r="AH57" s="710">
        <f t="shared" si="12"/>
        <v>646.13701940802275</v>
      </c>
      <c r="AI57" s="710">
        <f t="shared" si="12"/>
        <v>658.24698783109829</v>
      </c>
      <c r="AJ57" s="710">
        <f t="shared" si="12"/>
        <v>670.35629419949828</v>
      </c>
      <c r="AK57" s="710">
        <f t="shared" si="12"/>
        <v>682.46512729656934</v>
      </c>
      <c r="AL57" s="710">
        <f t="shared" si="12"/>
        <v>694.57367413796555</v>
      </c>
      <c r="AM57" s="710">
        <f t="shared" si="12"/>
        <v>706.68211998398056</v>
      </c>
      <c r="AN57" s="710">
        <f t="shared" si="12"/>
        <v>718.79064835180179</v>
      </c>
      <c r="AO57" s="710">
        <f t="shared" si="12"/>
        <v>730.89944102768686</v>
      </c>
      <c r="AP57" s="710">
        <f t="shared" si="12"/>
        <v>743.0086780790657</v>
      </c>
      <c r="AQ57" s="710">
        <f t="shared" si="12"/>
        <v>755.11853786656684</v>
      </c>
      <c r="AR57" s="710">
        <f t="shared" si="12"/>
        <v>767.22919705596587</v>
      </c>
      <c r="AS57" s="710">
        <f t="shared" si="12"/>
        <v>779.34083063006346</v>
      </c>
      <c r="AT57" s="710">
        <f t="shared" si="12"/>
        <v>791.45361190048334</v>
      </c>
      <c r="AU57" s="710">
        <f t="shared" si="12"/>
        <v>803.56771251940449</v>
      </c>
      <c r="AV57" s="426">
        <f t="shared" si="12"/>
        <v>815.68330249121118</v>
      </c>
    </row>
    <row r="58" spans="2:48" s="15" customFormat="1" ht="13.5" outlineLevel="1" x14ac:dyDescent="0.25">
      <c r="B58" s="671" t="s">
        <v>1396</v>
      </c>
      <c r="C58" s="679" t="s">
        <v>639</v>
      </c>
      <c r="D58" s="834">
        <f>IF(D43&gt;$E$8,$I$8,0)+IF(D43&gt;$E$9,$I$9,0)+IF(D43&gt;$E$10,$I$10,0)+IF(D43&gt;$E$11,$I$11,0)+IF(D43&gt;$E$12,$I$12*$F$12,0)</f>
        <v>0</v>
      </c>
      <c r="E58" s="834">
        <f t="shared" ref="E58:AV58" si="13">IF(E43&gt;$E$8,$I$8,0)+IF(E43&gt;$E$9,$I$9,0)+IF(E43&gt;$E$10,$I$10,0)+IF(E43&gt;$E$11,$I$11,0)+IF(E43&gt;$E$12,$I$12*$F$12,0)</f>
        <v>0</v>
      </c>
      <c r="F58" s="834">
        <f t="shared" si="13"/>
        <v>0</v>
      </c>
      <c r="G58" s="834">
        <f t="shared" si="13"/>
        <v>0</v>
      </c>
      <c r="H58" s="834">
        <f t="shared" si="13"/>
        <v>0</v>
      </c>
      <c r="I58" s="834">
        <f t="shared" si="13"/>
        <v>0</v>
      </c>
      <c r="J58" s="834">
        <f t="shared" si="13"/>
        <v>0</v>
      </c>
      <c r="K58" s="834">
        <f t="shared" si="13"/>
        <v>0</v>
      </c>
      <c r="L58" s="834">
        <f t="shared" si="13"/>
        <v>0</v>
      </c>
      <c r="M58" s="834">
        <f t="shared" si="13"/>
        <v>0</v>
      </c>
      <c r="N58" s="834">
        <f t="shared" si="13"/>
        <v>0.15</v>
      </c>
      <c r="O58" s="834">
        <f t="shared" si="13"/>
        <v>0.15</v>
      </c>
      <c r="P58" s="834">
        <f t="shared" si="13"/>
        <v>0.15</v>
      </c>
      <c r="Q58" s="834">
        <f t="shared" si="13"/>
        <v>0.15</v>
      </c>
      <c r="R58" s="834">
        <f t="shared" si="13"/>
        <v>0.15</v>
      </c>
      <c r="S58" s="834">
        <f t="shared" si="13"/>
        <v>0.15</v>
      </c>
      <c r="T58" s="834">
        <f t="shared" si="13"/>
        <v>0.15</v>
      </c>
      <c r="U58" s="834">
        <f t="shared" si="13"/>
        <v>0.15</v>
      </c>
      <c r="V58" s="834">
        <f t="shared" si="13"/>
        <v>0.15</v>
      </c>
      <c r="W58" s="834">
        <f t="shared" si="13"/>
        <v>0.15</v>
      </c>
      <c r="X58" s="834">
        <f t="shared" si="13"/>
        <v>0.15</v>
      </c>
      <c r="Y58" s="834">
        <f t="shared" si="13"/>
        <v>0.15</v>
      </c>
      <c r="Z58" s="834">
        <f t="shared" si="13"/>
        <v>0.15</v>
      </c>
      <c r="AA58" s="834">
        <f t="shared" si="13"/>
        <v>0.15</v>
      </c>
      <c r="AB58" s="834">
        <f t="shared" si="13"/>
        <v>0.15</v>
      </c>
      <c r="AC58" s="834">
        <f t="shared" si="13"/>
        <v>0.15</v>
      </c>
      <c r="AD58" s="834">
        <f t="shared" si="13"/>
        <v>0.15</v>
      </c>
      <c r="AE58" s="834">
        <f t="shared" si="13"/>
        <v>0.15</v>
      </c>
      <c r="AF58" s="834">
        <f t="shared" si="13"/>
        <v>0.15</v>
      </c>
      <c r="AG58" s="834">
        <f t="shared" si="13"/>
        <v>0.15</v>
      </c>
      <c r="AH58" s="834">
        <f t="shared" si="13"/>
        <v>0.15</v>
      </c>
      <c r="AI58" s="834">
        <f t="shared" si="13"/>
        <v>0.15</v>
      </c>
      <c r="AJ58" s="834">
        <f t="shared" si="13"/>
        <v>0.15</v>
      </c>
      <c r="AK58" s="834">
        <f t="shared" si="13"/>
        <v>0.15</v>
      </c>
      <c r="AL58" s="834">
        <f t="shared" si="13"/>
        <v>0.15</v>
      </c>
      <c r="AM58" s="834">
        <f t="shared" si="13"/>
        <v>0.15</v>
      </c>
      <c r="AN58" s="834">
        <f t="shared" si="13"/>
        <v>0.15</v>
      </c>
      <c r="AO58" s="834">
        <f t="shared" si="13"/>
        <v>0.15</v>
      </c>
      <c r="AP58" s="834">
        <f t="shared" si="13"/>
        <v>0.15</v>
      </c>
      <c r="AQ58" s="834">
        <f t="shared" si="13"/>
        <v>0.15</v>
      </c>
      <c r="AR58" s="834">
        <f t="shared" si="13"/>
        <v>0.15</v>
      </c>
      <c r="AS58" s="834">
        <f t="shared" si="13"/>
        <v>0.15</v>
      </c>
      <c r="AT58" s="834">
        <f t="shared" si="13"/>
        <v>0.15</v>
      </c>
      <c r="AU58" s="834">
        <f t="shared" si="13"/>
        <v>0.15</v>
      </c>
      <c r="AV58" s="835">
        <f t="shared" si="13"/>
        <v>0.15</v>
      </c>
    </row>
    <row r="59" spans="2:48" s="15" customFormat="1" ht="13.5" outlineLevel="1" x14ac:dyDescent="0.25">
      <c r="B59" s="671" t="s">
        <v>1397</v>
      </c>
      <c r="C59" s="679" t="s">
        <v>1398</v>
      </c>
      <c r="D59" s="677">
        <f>SISENDID!$G$288*D58</f>
        <v>0</v>
      </c>
      <c r="E59" s="677">
        <f>SISENDID!$G$288*E58</f>
        <v>0</v>
      </c>
      <c r="F59" s="677">
        <f>SISENDID!$G$288*F58</f>
        <v>0</v>
      </c>
      <c r="G59" s="677">
        <f>SISENDID!$G$288*G58</f>
        <v>0</v>
      </c>
      <c r="H59" s="677">
        <f>SISENDID!$G$288*H58</f>
        <v>0</v>
      </c>
      <c r="I59" s="677">
        <f>SISENDID!$G$288*I58</f>
        <v>0</v>
      </c>
      <c r="J59" s="677">
        <f>SISENDID!$G$288*J58</f>
        <v>0</v>
      </c>
      <c r="K59" s="677">
        <f>SISENDID!$G$288*K58</f>
        <v>0</v>
      </c>
      <c r="L59" s="677">
        <f>SISENDID!$G$288*L58</f>
        <v>0</v>
      </c>
      <c r="M59" s="677">
        <f>SISENDID!$G$288*M58</f>
        <v>0</v>
      </c>
      <c r="N59" s="677">
        <f>SISENDID!$G$288*N58</f>
        <v>5.7352941176470589</v>
      </c>
      <c r="O59" s="677">
        <f>SISENDID!$G$288*O58</f>
        <v>5.7352941176470589</v>
      </c>
      <c r="P59" s="677">
        <f>SISENDID!$G$288*P58</f>
        <v>5.7352941176470589</v>
      </c>
      <c r="Q59" s="677">
        <f>SISENDID!$G$288*Q58</f>
        <v>5.7352941176470589</v>
      </c>
      <c r="R59" s="677">
        <f>SISENDID!$G$288*R58</f>
        <v>5.7352941176470589</v>
      </c>
      <c r="S59" s="677">
        <f>SISENDID!$G$288*S58</f>
        <v>5.7352941176470589</v>
      </c>
      <c r="T59" s="677">
        <f>SISENDID!$G$288*T58</f>
        <v>5.7352941176470589</v>
      </c>
      <c r="U59" s="677">
        <f>SISENDID!$G$288*U58</f>
        <v>5.7352941176470589</v>
      </c>
      <c r="V59" s="677">
        <f>SISENDID!$G$288*V58</f>
        <v>5.7352941176470589</v>
      </c>
      <c r="W59" s="677">
        <f>SISENDID!$G$288*W58</f>
        <v>5.7352941176470589</v>
      </c>
      <c r="X59" s="677">
        <f>SISENDID!$G$288*X58</f>
        <v>5.7352941176470589</v>
      </c>
      <c r="Y59" s="677">
        <f>SISENDID!$G$288*Y58</f>
        <v>5.7352941176470589</v>
      </c>
      <c r="Z59" s="677">
        <f>SISENDID!$G$288*Z58</f>
        <v>5.7352941176470589</v>
      </c>
      <c r="AA59" s="677">
        <f>SISENDID!$G$288*AA58</f>
        <v>5.7352941176470589</v>
      </c>
      <c r="AB59" s="677">
        <f>SISENDID!$G$288*AB58</f>
        <v>5.7352941176470589</v>
      </c>
      <c r="AC59" s="677">
        <f>SISENDID!$G$288*AC58</f>
        <v>5.7352941176470589</v>
      </c>
      <c r="AD59" s="677">
        <f>SISENDID!$G$288*AD58</f>
        <v>5.7352941176470589</v>
      </c>
      <c r="AE59" s="677">
        <f>SISENDID!$G$288*AE58</f>
        <v>5.7352941176470589</v>
      </c>
      <c r="AF59" s="677">
        <f>SISENDID!$G$288*AF58</f>
        <v>5.7352941176470589</v>
      </c>
      <c r="AG59" s="677">
        <f>SISENDID!$G$288*AG58</f>
        <v>5.7352941176470589</v>
      </c>
      <c r="AH59" s="677">
        <f>SISENDID!$G$288*AH58</f>
        <v>5.7352941176470589</v>
      </c>
      <c r="AI59" s="677">
        <f>SISENDID!$G$288*AI58</f>
        <v>5.7352941176470589</v>
      </c>
      <c r="AJ59" s="677">
        <f>SISENDID!$G$288*AJ58</f>
        <v>5.7352941176470589</v>
      </c>
      <c r="AK59" s="677">
        <f>SISENDID!$G$288*AK58</f>
        <v>5.7352941176470589</v>
      </c>
      <c r="AL59" s="677">
        <f>SISENDID!$G$288*AL58</f>
        <v>5.7352941176470589</v>
      </c>
      <c r="AM59" s="677">
        <f>SISENDID!$G$288*AM58</f>
        <v>5.7352941176470589</v>
      </c>
      <c r="AN59" s="677">
        <f>SISENDID!$G$288*AN58</f>
        <v>5.7352941176470589</v>
      </c>
      <c r="AO59" s="677">
        <f>SISENDID!$G$288*AO58</f>
        <v>5.7352941176470589</v>
      </c>
      <c r="AP59" s="677">
        <f>SISENDID!$G$288*AP58</f>
        <v>5.7352941176470589</v>
      </c>
      <c r="AQ59" s="677">
        <f>SISENDID!$G$288*AQ58</f>
        <v>5.7352941176470589</v>
      </c>
      <c r="AR59" s="677">
        <f>SISENDID!$G$288*AR58</f>
        <v>5.7352941176470589</v>
      </c>
      <c r="AS59" s="677">
        <f>SISENDID!$G$288*AS58</f>
        <v>5.7352941176470589</v>
      </c>
      <c r="AT59" s="677">
        <f>SISENDID!$G$288*AT58</f>
        <v>5.7352941176470589</v>
      </c>
      <c r="AU59" s="677">
        <f>SISENDID!$G$288*AU58</f>
        <v>5.7352941176470589</v>
      </c>
      <c r="AV59" s="819">
        <f>SISENDID!$G$288*AV58</f>
        <v>5.7352941176470589</v>
      </c>
    </row>
    <row r="60" spans="2:48" s="15" customFormat="1" ht="13.5" outlineLevel="1" x14ac:dyDescent="0.25">
      <c r="B60" s="817" t="s">
        <v>1284</v>
      </c>
      <c r="C60" s="818" t="s">
        <v>657</v>
      </c>
      <c r="D60" s="675">
        <f>D59*1000/$C$19*$C$18</f>
        <v>0</v>
      </c>
      <c r="E60" s="675">
        <f t="shared" ref="E60:AV60" si="14">E59*1000/$C$19*$C$18</f>
        <v>0</v>
      </c>
      <c r="F60" s="675">
        <f t="shared" si="14"/>
        <v>0</v>
      </c>
      <c r="G60" s="675">
        <f t="shared" si="14"/>
        <v>0</v>
      </c>
      <c r="H60" s="675">
        <f t="shared" si="14"/>
        <v>0</v>
      </c>
      <c r="I60" s="675">
        <f t="shared" si="14"/>
        <v>0</v>
      </c>
      <c r="J60" s="675">
        <f t="shared" si="14"/>
        <v>0</v>
      </c>
      <c r="K60" s="675">
        <f t="shared" si="14"/>
        <v>0</v>
      </c>
      <c r="L60" s="675">
        <f t="shared" si="14"/>
        <v>0</v>
      </c>
      <c r="M60" s="675">
        <f t="shared" si="14"/>
        <v>0</v>
      </c>
      <c r="N60" s="675">
        <f t="shared" si="14"/>
        <v>20483.193277310926</v>
      </c>
      <c r="O60" s="675">
        <f t="shared" si="14"/>
        <v>20483.193277310926</v>
      </c>
      <c r="P60" s="675">
        <f t="shared" si="14"/>
        <v>20483.193277310926</v>
      </c>
      <c r="Q60" s="675">
        <f t="shared" si="14"/>
        <v>20483.193277310926</v>
      </c>
      <c r="R60" s="675">
        <f t="shared" si="14"/>
        <v>20483.193277310926</v>
      </c>
      <c r="S60" s="675">
        <f t="shared" si="14"/>
        <v>20483.193277310926</v>
      </c>
      <c r="T60" s="675">
        <f t="shared" si="14"/>
        <v>20483.193277310926</v>
      </c>
      <c r="U60" s="675">
        <f t="shared" si="14"/>
        <v>20483.193277310926</v>
      </c>
      <c r="V60" s="675">
        <f t="shared" si="14"/>
        <v>20483.193277310926</v>
      </c>
      <c r="W60" s="675">
        <f t="shared" si="14"/>
        <v>20483.193277310926</v>
      </c>
      <c r="X60" s="675">
        <f t="shared" si="14"/>
        <v>20483.193277310926</v>
      </c>
      <c r="Y60" s="675">
        <f t="shared" si="14"/>
        <v>20483.193277310926</v>
      </c>
      <c r="Z60" s="675">
        <f t="shared" si="14"/>
        <v>20483.193277310926</v>
      </c>
      <c r="AA60" s="675">
        <f t="shared" si="14"/>
        <v>20483.193277310926</v>
      </c>
      <c r="AB60" s="675">
        <f t="shared" si="14"/>
        <v>20483.193277310926</v>
      </c>
      <c r="AC60" s="675">
        <f t="shared" si="14"/>
        <v>20483.193277310926</v>
      </c>
      <c r="AD60" s="675">
        <f t="shared" si="14"/>
        <v>20483.193277310926</v>
      </c>
      <c r="AE60" s="675">
        <f t="shared" si="14"/>
        <v>20483.193277310926</v>
      </c>
      <c r="AF60" s="675">
        <f t="shared" si="14"/>
        <v>20483.193277310926</v>
      </c>
      <c r="AG60" s="675">
        <f t="shared" si="14"/>
        <v>20483.193277310926</v>
      </c>
      <c r="AH60" s="675">
        <f t="shared" si="14"/>
        <v>20483.193277310926</v>
      </c>
      <c r="AI60" s="675">
        <f t="shared" si="14"/>
        <v>20483.193277310926</v>
      </c>
      <c r="AJ60" s="675">
        <f t="shared" si="14"/>
        <v>20483.193277310926</v>
      </c>
      <c r="AK60" s="675">
        <f t="shared" si="14"/>
        <v>20483.193277310926</v>
      </c>
      <c r="AL60" s="675">
        <f t="shared" si="14"/>
        <v>20483.193277310926</v>
      </c>
      <c r="AM60" s="675">
        <f t="shared" si="14"/>
        <v>20483.193277310926</v>
      </c>
      <c r="AN60" s="675">
        <f t="shared" si="14"/>
        <v>20483.193277310926</v>
      </c>
      <c r="AO60" s="675">
        <f t="shared" si="14"/>
        <v>20483.193277310926</v>
      </c>
      <c r="AP60" s="675">
        <f t="shared" si="14"/>
        <v>20483.193277310926</v>
      </c>
      <c r="AQ60" s="675">
        <f t="shared" si="14"/>
        <v>20483.193277310926</v>
      </c>
      <c r="AR60" s="675">
        <f t="shared" si="14"/>
        <v>20483.193277310926</v>
      </c>
      <c r="AS60" s="675">
        <f t="shared" si="14"/>
        <v>20483.193277310926</v>
      </c>
      <c r="AT60" s="675">
        <f t="shared" si="14"/>
        <v>20483.193277310926</v>
      </c>
      <c r="AU60" s="675">
        <f t="shared" si="14"/>
        <v>20483.193277310926</v>
      </c>
      <c r="AV60" s="676">
        <f t="shared" si="14"/>
        <v>20483.193277310926</v>
      </c>
    </row>
    <row r="61" spans="2:48" s="15" customFormat="1" ht="13.5" outlineLevel="1" x14ac:dyDescent="0.25">
      <c r="B61" s="817" t="s">
        <v>1285</v>
      </c>
      <c r="C61" s="818" t="s">
        <v>1286</v>
      </c>
      <c r="D61" s="675">
        <f>D$60/100*SISENDID!F261</f>
        <v>0</v>
      </c>
      <c r="E61" s="675">
        <f>E$60/100*SISENDID!G261</f>
        <v>0</v>
      </c>
      <c r="F61" s="675">
        <f>F$60/100*SISENDID!H261</f>
        <v>0</v>
      </c>
      <c r="G61" s="675">
        <f>G$60/100*SISENDID!I261</f>
        <v>0</v>
      </c>
      <c r="H61" s="675">
        <f>H$60/100*SISENDID!J261</f>
        <v>0</v>
      </c>
      <c r="I61" s="675">
        <f>I$60/100*SISENDID!K261</f>
        <v>0</v>
      </c>
      <c r="J61" s="675">
        <f>J$60/100*SISENDID!L261</f>
        <v>0</v>
      </c>
      <c r="K61" s="675">
        <f>K$60/100*SISENDID!M261</f>
        <v>0</v>
      </c>
      <c r="L61" s="675">
        <f>L$60/100*SISENDID!N261</f>
        <v>0</v>
      </c>
      <c r="M61" s="675">
        <f>M$60/100*SISENDID!O261</f>
        <v>0</v>
      </c>
      <c r="N61" s="675">
        <f>N$60/100*SISENDID!P261</f>
        <v>489.2136588166556</v>
      </c>
      <c r="O61" s="675">
        <f>O$60/100*SISENDID!Q261</f>
        <v>462.56537333365787</v>
      </c>
      <c r="P61" s="675">
        <f>P$60/100*SISENDID!R261</f>
        <v>436.56314538931207</v>
      </c>
      <c r="Q61" s="675">
        <f>Q$60/100*SISENDID!S261</f>
        <v>411.19382919093766</v>
      </c>
      <c r="R61" s="675">
        <f>R$60/100*SISENDID!T261</f>
        <v>386.44452954660875</v>
      </c>
      <c r="S61" s="675">
        <f>S$60/100*SISENDID!U261</f>
        <v>362.30259721361068</v>
      </c>
      <c r="T61" s="675">
        <f>T$60/100*SISENDID!V261</f>
        <v>338.75562433234444</v>
      </c>
      <c r="U61" s="675">
        <f>U$60/100*SISENDID!W261</f>
        <v>315.79143994411402</v>
      </c>
      <c r="V61" s="675">
        <f>V$60/100*SISENDID!X261</f>
        <v>293.39810559126079</v>
      </c>
      <c r="W61" s="675">
        <f>W$60/100*SISENDID!Y261</f>
        <v>271.56391099813732</v>
      </c>
      <c r="X61" s="675">
        <f>X$60/100*SISENDID!Z261</f>
        <v>250.2773698314414</v>
      </c>
      <c r="Y61" s="675">
        <f>Y$60/100*SISENDID!AA261</f>
        <v>229.5272155384568</v>
      </c>
      <c r="Z61" s="675">
        <f>Z$60/100*SISENDID!AB261</f>
        <v>209.30239726177467</v>
      </c>
      <c r="AA61" s="675">
        <f>AA$60/100*SISENDID!AC261</f>
        <v>189.59207582909528</v>
      </c>
      <c r="AB61" s="675">
        <f>AB$60/100*SISENDID!AD261</f>
        <v>170.38561981673561</v>
      </c>
      <c r="AC61" s="675">
        <f>AC$60/100*SISENDID!AE261</f>
        <v>161.78648366614129</v>
      </c>
      <c r="AD61" s="675">
        <f>AD$60/100*SISENDID!AF261</f>
        <v>153.19613158312032</v>
      </c>
      <c r="AE61" s="675">
        <f>AE$60/100*SISENDID!AG261</f>
        <v>144.61449873789167</v>
      </c>
      <c r="AF61" s="675">
        <f>AF$60/100*SISENDID!AH261</f>
        <v>136.04152072937038</v>
      </c>
      <c r="AG61" s="675">
        <f>AG$60/100*SISENDID!AI261</f>
        <v>127.47713358250161</v>
      </c>
      <c r="AH61" s="675">
        <f>AH$60/100*SISENDID!AJ261</f>
        <v>118.92127374560987</v>
      </c>
      <c r="AI61" s="675">
        <f>AI$60/100*SISENDID!AK261</f>
        <v>110.37387808776506</v>
      </c>
      <c r="AJ61" s="675">
        <f>AJ$60/100*SISENDID!AL261</f>
        <v>101.8348838961636</v>
      </c>
      <c r="AK61" s="675">
        <f>AK$60/100*SISENDID!AM261</f>
        <v>93.30422887352546</v>
      </c>
      <c r="AL61" s="675">
        <f>AL$60/100*SISENDID!AN261</f>
        <v>84.781851135506727</v>
      </c>
      <c r="AM61" s="675">
        <f>AM$60/100*SISENDID!AO261</f>
        <v>76.267689208127734</v>
      </c>
      <c r="AN61" s="675">
        <f>AN$60/100*SISENDID!AP261</f>
        <v>67.761682025216501</v>
      </c>
      <c r="AO61" s="675">
        <f>AO$60/100*SISENDID!AQ261</f>
        <v>59.263768925867481</v>
      </c>
      <c r="AP61" s="675">
        <f>AP$60/100*SISENDID!AR261</f>
        <v>50.773889651915582</v>
      </c>
      <c r="AQ61" s="675">
        <f>AQ$60/100*SISENDID!AS261</f>
        <v>42.291984345425263</v>
      </c>
      <c r="AR61" s="675">
        <f>AR$60/100*SISENDID!AT261</f>
        <v>33.817993546194714</v>
      </c>
      <c r="AS61" s="675">
        <f>AS$60/100*SISENDID!AU261</f>
        <v>25.351858189274967</v>
      </c>
      <c r="AT61" s="675">
        <f>AT$60/100*SISENDID!AV261</f>
        <v>16.893519602503837</v>
      </c>
      <c r="AU61" s="675">
        <f>AU$60/100*SISENDID!AW261</f>
        <v>8.4429195040547231</v>
      </c>
      <c r="AV61" s="676">
        <f>AV$60/100*SISENDID!AX261</f>
        <v>0</v>
      </c>
    </row>
    <row r="62" spans="2:48" s="15" customFormat="1" ht="13.5" outlineLevel="1" x14ac:dyDescent="0.25">
      <c r="B62" s="817" t="s">
        <v>1285</v>
      </c>
      <c r="C62" s="818" t="s">
        <v>659</v>
      </c>
      <c r="D62" s="675">
        <f>D61*SISENDID!$E$418</f>
        <v>0</v>
      </c>
      <c r="E62" s="675">
        <f>E61*SISENDID!$E$418</f>
        <v>0</v>
      </c>
      <c r="F62" s="675">
        <f>F61*SISENDID!$E$418</f>
        <v>0</v>
      </c>
      <c r="G62" s="675">
        <f>G61*SISENDID!$E$418</f>
        <v>0</v>
      </c>
      <c r="H62" s="675">
        <f>H61*SISENDID!$E$418</f>
        <v>0</v>
      </c>
      <c r="I62" s="675">
        <f>I61*SISENDID!$E$418</f>
        <v>0</v>
      </c>
      <c r="J62" s="675">
        <f>J61*SISENDID!$E$418</f>
        <v>0</v>
      </c>
      <c r="K62" s="675">
        <f>K61*SISENDID!$E$418</f>
        <v>0</v>
      </c>
      <c r="L62" s="675">
        <f>L61*SISENDID!$E$418</f>
        <v>0</v>
      </c>
      <c r="M62" s="675">
        <f>M61*SISENDID!$E$418</f>
        <v>0</v>
      </c>
      <c r="N62" s="675">
        <f>N61*SISENDID!$E$418</f>
        <v>4842.3346376990203</v>
      </c>
      <c r="O62" s="675">
        <f>O61*SISENDID!$E$418</f>
        <v>4578.564578331212</v>
      </c>
      <c r="P62" s="675">
        <f>P61*SISENDID!$E$418</f>
        <v>4321.1893256924886</v>
      </c>
      <c r="Q62" s="675">
        <f>Q61*SISENDID!$E$418</f>
        <v>4070.0787600977387</v>
      </c>
      <c r="R62" s="675">
        <f>R61*SISENDID!$E$418</f>
        <v>3825.1052423582423</v>
      </c>
      <c r="S62" s="675">
        <f>S61*SISENDID!$E$418</f>
        <v>3586.1435677397608</v>
      </c>
      <c r="T62" s="675">
        <f>T61*SISENDID!$E$418</f>
        <v>3353.0709207664113</v>
      </c>
      <c r="U62" s="675">
        <f>U61*SISENDID!$E$418</f>
        <v>3125.7668308548291</v>
      </c>
      <c r="V62" s="675">
        <f>V61*SISENDID!$E$418</f>
        <v>2904.1131287634171</v>
      </c>
      <c r="W62" s="675">
        <f>W61*SISENDID!$E$418</f>
        <v>2687.9939038417624</v>
      </c>
      <c r="X62" s="675">
        <f>X61*SISENDID!$E$418</f>
        <v>2477.2954620655732</v>
      </c>
      <c r="Y62" s="675">
        <f>Y61*SISENDID!$E$418</f>
        <v>2271.9062848427529</v>
      </c>
      <c r="Z62" s="675">
        <f>Z61*SISENDID!$E$418</f>
        <v>2071.7169885764979</v>
      </c>
      <c r="AA62" s="675">
        <f>AA61*SISENDID!$E$418</f>
        <v>1876.6202849715507</v>
      </c>
      <c r="AB62" s="675">
        <f>AB61*SISENDID!$E$418</f>
        <v>1686.5109420700123</v>
      </c>
      <c r="AC62" s="675">
        <f>AC61*SISENDID!$E$418</f>
        <v>1601.3949726241997</v>
      </c>
      <c r="AD62" s="675">
        <f>AD61*SISENDID!$E$418</f>
        <v>1516.3659496360415</v>
      </c>
      <c r="AE62" s="675">
        <f>AE61*SISENDID!$E$418</f>
        <v>1431.4232314073993</v>
      </c>
      <c r="AF62" s="675">
        <f>AF61*SISENDID!$E$418</f>
        <v>1346.5661804834538</v>
      </c>
      <c r="AG62" s="675">
        <f>AG61*SISENDID!$E$418</f>
        <v>1261.7941636263174</v>
      </c>
      <c r="AH62" s="675">
        <f>AH61*SISENDID!$E$418</f>
        <v>1177.1065517887955</v>
      </c>
      <c r="AI62" s="675">
        <f>AI61*SISENDID!$E$418</f>
        <v>1092.502720088316</v>
      </c>
      <c r="AJ62" s="675">
        <f>AJ61*SISENDID!$E$418</f>
        <v>1007.9820477810065</v>
      </c>
      <c r="AK62" s="675">
        <f>AK61*SISENDID!$E$418</f>
        <v>923.5439182359296</v>
      </c>
      <c r="AL62" s="675">
        <f>AL61*SISENDID!$E$418</f>
        <v>839.18771890947266</v>
      </c>
      <c r="AM62" s="675">
        <f>AM61*SISENDID!$E$418</f>
        <v>754.91284131988994</v>
      </c>
      <c r="AN62" s="675">
        <f>AN61*SISENDID!$E$418</f>
        <v>670.7186810219979</v>
      </c>
      <c r="AO62" s="675">
        <f>AO61*SISENDID!$E$418</f>
        <v>586.6046375820215</v>
      </c>
      <c r="AP62" s="675">
        <f>AP61*SISENDID!$E$418</f>
        <v>502.57011455259078</v>
      </c>
      <c r="AQ62" s="675">
        <f>AQ61*SISENDID!$E$418</f>
        <v>418.61451944788831</v>
      </c>
      <c r="AR62" s="675">
        <f>AR61*SISENDID!$E$418</f>
        <v>334.73726371894452</v>
      </c>
      <c r="AS62" s="675">
        <f>AS61*SISENDID!$E$418</f>
        <v>250.93776272908147</v>
      </c>
      <c r="AT62" s="675">
        <f>AT61*SISENDID!$E$418</f>
        <v>167.21543572950347</v>
      </c>
      <c r="AU62" s="675">
        <f>AU61*SISENDID!$E$418</f>
        <v>83.569705835034455</v>
      </c>
      <c r="AV62" s="676">
        <f>AV61*SISENDID!$E$418</f>
        <v>0</v>
      </c>
    </row>
    <row r="63" spans="2:48" s="15" customFormat="1" ht="13.5" outlineLevel="1" x14ac:dyDescent="0.25">
      <c r="B63" s="817" t="s">
        <v>1287</v>
      </c>
      <c r="C63" s="818" t="s">
        <v>659</v>
      </c>
      <c r="D63" s="675">
        <f>D$60/100*SISENDID!F262</f>
        <v>0</v>
      </c>
      <c r="E63" s="675">
        <f>E$60/100*SISENDID!G262</f>
        <v>0</v>
      </c>
      <c r="F63" s="675">
        <f>F$60/100*SISENDID!H262</f>
        <v>0</v>
      </c>
      <c r="G63" s="675">
        <f>G$60/100*SISENDID!I262</f>
        <v>0</v>
      </c>
      <c r="H63" s="675">
        <f>H$60/100*SISENDID!J262</f>
        <v>0</v>
      </c>
      <c r="I63" s="675">
        <f>I$60/100*SISENDID!K262</f>
        <v>0</v>
      </c>
      <c r="J63" s="675">
        <f>J$60/100*SISENDID!L262</f>
        <v>0</v>
      </c>
      <c r="K63" s="675">
        <f>K$60/100*SISENDID!M262</f>
        <v>0</v>
      </c>
      <c r="L63" s="675">
        <f>L$60/100*SISENDID!N262</f>
        <v>0</v>
      </c>
      <c r="M63" s="675">
        <f>M$60/100*SISENDID!O262</f>
        <v>0</v>
      </c>
      <c r="N63" s="675">
        <f>N$60/100*SISENDID!P262</f>
        <v>2467.4916787496404</v>
      </c>
      <c r="O63" s="675">
        <f>O$60/100*SISENDID!Q262</f>
        <v>2529.3563041092175</v>
      </c>
      <c r="P63" s="675">
        <f>P$60/100*SISENDID!R262</f>
        <v>2590.9651667551793</v>
      </c>
      <c r="Q63" s="675">
        <f>Q$60/100*SISENDID!S262</f>
        <v>2652.3190344511054</v>
      </c>
      <c r="R63" s="675">
        <f>R$60/100*SISENDID!T262</f>
        <v>2713.4186729517164</v>
      </c>
      <c r="S63" s="675">
        <f>S$60/100*SISENDID!U262</f>
        <v>2774.2648460076421</v>
      </c>
      <c r="T63" s="675">
        <f>T$60/100*SISENDID!V262</f>
        <v>2834.8583153701807</v>
      </c>
      <c r="U63" s="675">
        <f>U$60/100*SISENDID!W262</f>
        <v>2895.199840796045</v>
      </c>
      <c r="V63" s="675">
        <f>V$60/100*SISENDID!X262</f>
        <v>2955.290180052104</v>
      </c>
      <c r="W63" s="675">
        <f>W$60/100*SISENDID!Y262</f>
        <v>3015.1300889201088</v>
      </c>
      <c r="X63" s="675">
        <f>X$60/100*SISENDID!Z262</f>
        <v>3074.7203212014138</v>
      </c>
      <c r="Y63" s="675">
        <f>Y$60/100*SISENDID!AA262</f>
        <v>3134.0616287216822</v>
      </c>
      <c r="Z63" s="675">
        <f>Z$60/100*SISENDID!AB262</f>
        <v>3193.1547613355874</v>
      </c>
      <c r="AA63" s="675">
        <f>AA$60/100*SISENDID!AC262</f>
        <v>3252.0004669314985</v>
      </c>
      <c r="AB63" s="675">
        <f>AB$60/100*SISENDID!AD262</f>
        <v>3310.5994914361609</v>
      </c>
      <c r="AC63" s="675">
        <f>AC$60/100*SISENDID!AE262</f>
        <v>3334.6996600140906</v>
      </c>
      <c r="AD63" s="675">
        <f>AD$60/100*SISENDID!AF262</f>
        <v>3358.7400566740039</v>
      </c>
      <c r="AE63" s="675">
        <f>AE$60/100*SISENDID!AG262</f>
        <v>3382.7205021298614</v>
      </c>
      <c r="AF63" s="675">
        <f>AF$60/100*SISENDID!AH262</f>
        <v>3406.6408200248052</v>
      </c>
      <c r="AG63" s="675">
        <f>AG$60/100*SISENDID!AI262</f>
        <v>3430.5008369084853</v>
      </c>
      <c r="AH63" s="675">
        <f>AH$60/100*SISENDID!AJ262</f>
        <v>3454.3003822145165</v>
      </c>
      <c r="AI63" s="675">
        <f>AI$60/100*SISENDID!AK262</f>
        <v>3478.0392882381007</v>
      </c>
      <c r="AJ63" s="675">
        <f>AJ$60/100*SISENDID!AL262</f>
        <v>3501.7173901137785</v>
      </c>
      <c r="AK63" s="675">
        <f>AK$60/100*SISENDID!AM262</f>
        <v>3525.3345257933274</v>
      </c>
      <c r="AL63" s="675">
        <f>AL$60/100*SISENDID!AN262</f>
        <v>3548.8905360238141</v>
      </c>
      <c r="AM63" s="675">
        <f>AM$60/100*SISENDID!AO262</f>
        <v>3572.3852643257728</v>
      </c>
      <c r="AN63" s="675">
        <f>AN$60/100*SISENDID!AP262</f>
        <v>3595.8185569715374</v>
      </c>
      <c r="AO63" s="675">
        <f>AO$60/100*SISENDID!AQ262</f>
        <v>3619.1902629637043</v>
      </c>
      <c r="AP63" s="675">
        <f>AP$60/100*SISENDID!AR262</f>
        <v>3642.5002340137466</v>
      </c>
      <c r="AQ63" s="675">
        <f>AQ$60/100*SISENDID!AS262</f>
        <v>3665.7483245207536</v>
      </c>
      <c r="AR63" s="675">
        <f>AR$60/100*SISENDID!AT262</f>
        <v>3688.9343915503191</v>
      </c>
      <c r="AS63" s="675">
        <f>AS$60/100*SISENDID!AU262</f>
        <v>3712.0582948135598</v>
      </c>
      <c r="AT63" s="675">
        <f>AT$60/100*SISENDID!AV262</f>
        <v>3735.1198966462762</v>
      </c>
      <c r="AU63" s="675">
        <f>AU$60/100*SISENDID!AW262</f>
        <v>3758.1190619882414</v>
      </c>
      <c r="AV63" s="676">
        <f>AV$60/100*SISENDID!AX262</f>
        <v>3781.0556583626289</v>
      </c>
    </row>
    <row r="64" spans="2:48" s="39" customFormat="1" ht="13.5" outlineLevel="1" x14ac:dyDescent="0.25">
      <c r="B64" s="689" t="s">
        <v>1261</v>
      </c>
      <c r="C64" s="693" t="s">
        <v>853</v>
      </c>
      <c r="D64" s="710">
        <f>D$60*SISENDID!E263/1000</f>
        <v>0</v>
      </c>
      <c r="E64" s="710">
        <f>E$60*SISENDID!F263/1000</f>
        <v>0</v>
      </c>
      <c r="F64" s="710">
        <f>F$60*SISENDID!G263/1000</f>
        <v>0</v>
      </c>
      <c r="G64" s="710">
        <f>G$60*SISENDID!H263/1000</f>
        <v>0</v>
      </c>
      <c r="H64" s="710">
        <f>H$60*SISENDID!I263/1000</f>
        <v>0</v>
      </c>
      <c r="I64" s="710">
        <f>I$60*SISENDID!J263/1000</f>
        <v>0</v>
      </c>
      <c r="J64" s="710">
        <f>J$60*SISENDID!K263/1000</f>
        <v>0</v>
      </c>
      <c r="K64" s="710">
        <f>K$60*SISENDID!L263/1000</f>
        <v>0</v>
      </c>
      <c r="L64" s="710">
        <f>L$60*SISENDID!M263/1000</f>
        <v>0</v>
      </c>
      <c r="M64" s="710">
        <f>M$60*SISENDID!N263/1000</f>
        <v>0</v>
      </c>
      <c r="N64" s="710">
        <f>N$60*SISENDID!O263/1000</f>
        <v>1349.9676492698011</v>
      </c>
      <c r="O64" s="710">
        <f>O$60*SISENDID!P263/1000</f>
        <v>1277.6726426849675</v>
      </c>
      <c r="P64" s="710">
        <f>P$60*SISENDID!Q263/1000</f>
        <v>1207.1938921306853</v>
      </c>
      <c r="Q64" s="710">
        <f>Q$60*SISENDID!R263/1000</f>
        <v>1138.4920990747758</v>
      </c>
      <c r="R64" s="710">
        <f>R$60*SISENDID!S263/1000</f>
        <v>1071.5287797281312</v>
      </c>
      <c r="S64" s="710">
        <f>S$60*SISENDID!T263/1000</f>
        <v>1006.2662482995842</v>
      </c>
      <c r="T64" s="710">
        <f>T$60*SISENDID!U263/1000</f>
        <v>942.66760059559942</v>
      </c>
      <c r="U64" s="710">
        <f>U$60*SISENDID!V263/1000</f>
        <v>880.6966979576589</v>
      </c>
      <c r="V64" s="710">
        <f>V$60*SISENDID!W263/1000</f>
        <v>820.31815153036757</v>
      </c>
      <c r="W64" s="710">
        <f>W$60*SISENDID!X263/1000</f>
        <v>761.49730685343684</v>
      </c>
      <c r="X64" s="710">
        <f>X$60*SISENDID!Y263/1000</f>
        <v>704.20022877086603</v>
      </c>
      <c r="Y64" s="710">
        <f>Y$60*SISENDID!Z263/1000</f>
        <v>648.39368665075745</v>
      </c>
      <c r="Z64" s="710">
        <f>Z$60*SISENDID!AA263/1000</f>
        <v>594.04513990935459</v>
      </c>
      <c r="AA64" s="710">
        <f>AA$60*SISENDID!AB263/1000</f>
        <v>541.12272383301502</v>
      </c>
      <c r="AB64" s="710">
        <f>AB$60*SISENDID!AC263/1000</f>
        <v>489.59523569196551</v>
      </c>
      <c r="AC64" s="710">
        <f>AC$60*SISENDID!AD263/1000</f>
        <v>439.43212113981065</v>
      </c>
      <c r="AD64" s="710">
        <f>AD$60*SISENDID!AE263/1000</f>
        <v>411.90306288997851</v>
      </c>
      <c r="AE64" s="710">
        <f>AE$60*SISENDID!AF263/1000</f>
        <v>385.03355355430699</v>
      </c>
      <c r="AF64" s="710">
        <f>AF$60*SISENDID!AG263/1000</f>
        <v>358.81010699876322</v>
      </c>
      <c r="AG64" s="710">
        <f>AG$60*SISENDID!AH263/1000</f>
        <v>333.21950253050721</v>
      </c>
      <c r="AH64" s="710">
        <f>AH$60*SISENDID!AI263/1000</f>
        <v>308.2487796738157</v>
      </c>
      <c r="AI64" s="710">
        <f>AI$60*SISENDID!AJ263/1000</f>
        <v>283.88523305002616</v>
      </c>
      <c r="AJ64" s="710">
        <f>AJ$60*SISENDID!AK263/1000</f>
        <v>260.11640735940398</v>
      </c>
      <c r="AK64" s="710">
        <f>AK$60*SISENDID!AL263/1000</f>
        <v>236.93009246287647</v>
      </c>
      <c r="AL64" s="710">
        <f>AL$60*SISENDID!AM263/1000</f>
        <v>214.31431856162254</v>
      </c>
      <c r="AM64" s="710">
        <f>AM$60*SISENDID!AN263/1000</f>
        <v>192.25735147254511</v>
      </c>
      <c r="AN64" s="710">
        <f>AN$60*SISENDID!AO263/1000</f>
        <v>170.74768799769492</v>
      </c>
      <c r="AO64" s="710">
        <f>AO$60*SISENDID!AP263/1000</f>
        <v>149.77405138575267</v>
      </c>
      <c r="AP64" s="710">
        <f>AP$60*SISENDID!AQ263/1000</f>
        <v>129.32538688371613</v>
      </c>
      <c r="AQ64" s="710">
        <f>AQ$60*SISENDID!AR263/1000</f>
        <v>109.39085737697573</v>
      </c>
      <c r="AR64" s="710">
        <f>AR$60*SISENDID!AS263/1000</f>
        <v>89.959839115998918</v>
      </c>
      <c r="AS64" s="710">
        <f>AS$60*SISENDID!AT263/1000</f>
        <v>71.021917527880248</v>
      </c>
      <c r="AT64" s="710">
        <f>AT$60*SISENDID!AU263/1000</f>
        <v>52.566883111049862</v>
      </c>
      <c r="AU64" s="710">
        <f>AU$60*SISENDID!AV263/1000</f>
        <v>34.584727411466808</v>
      </c>
      <c r="AV64" s="426">
        <f>AV$60*SISENDID!AW263/1000</f>
        <v>17.065639078658432</v>
      </c>
    </row>
    <row r="66" spans="4:5" x14ac:dyDescent="0.25">
      <c r="D66" s="125"/>
    </row>
    <row r="67" spans="4:5" x14ac:dyDescent="0.25">
      <c r="D67" s="294"/>
      <c r="E67" s="127"/>
    </row>
    <row r="68" spans="4:5" x14ac:dyDescent="0.25">
      <c r="D68" s="294"/>
      <c r="E68" s="128"/>
    </row>
    <row r="69" spans="4:5" x14ac:dyDescent="0.25">
      <c r="D69" s="294"/>
      <c r="E69" s="128"/>
    </row>
    <row r="70" spans="4:5" x14ac:dyDescent="0.25">
      <c r="D70" s="129"/>
      <c r="E70" s="128"/>
    </row>
    <row r="71" spans="4:5" x14ac:dyDescent="0.25">
      <c r="E71" s="128"/>
    </row>
    <row r="72" spans="4:5" x14ac:dyDescent="0.25">
      <c r="E72" s="128"/>
    </row>
    <row r="73" spans="4:5" x14ac:dyDescent="0.25">
      <c r="E73" s="127"/>
    </row>
    <row r="74" spans="4:5" x14ac:dyDescent="0.25">
      <c r="E74" s="127"/>
    </row>
    <row r="75" spans="4:5" x14ac:dyDescent="0.25">
      <c r="E75" s="127"/>
    </row>
    <row r="76" spans="4:5" x14ac:dyDescent="0.25">
      <c r="E76" s="127"/>
    </row>
  </sheetData>
  <sheetProtection algorithmName="SHA-512" hashValue="7md9burujgmZDWRR6li7gnwrNMghglfutuZWuiNlsoFWfD/TpyYM+LQMhTzlAm4eSWtkz1M9tfDTKUM8GmvQjA==" saltValue="CVIH0WjThamCkngiWnnz1g==" spinCount="100000" sheet="1" objects="1" scenarios="1" selectLockedCells="1"/>
  <mergeCells count="2">
    <mergeCell ref="F3:L3"/>
    <mergeCell ref="B3:E3"/>
  </mergeCells>
  <phoneticPr fontId="16" type="noConversion"/>
  <conditionalFormatting sqref="C37:C39">
    <cfRule type="containsText" dxfId="35" priority="1" operator="containsText" text="Kõrge">
      <formula>NOT(ISERROR(SEARCH("Kõrge",C37)))</formula>
    </cfRule>
    <cfRule type="containsText" dxfId="34" priority="2" operator="containsText" text="Mõõdukas">
      <formula>NOT(ISERROR(SEARCH("Mõõdukas",C37)))</formula>
    </cfRule>
    <cfRule type="containsText" dxfId="33" priority="3" operator="containsText" text="Madal">
      <formula>NOT(ISERROR(SEARCH("Madal",C37)))</formula>
    </cfRule>
  </conditionalFormatting>
  <dataValidations count="3">
    <dataValidation type="list" allowBlank="1" showInputMessage="1" showErrorMessage="1" sqref="C39" xr:uid="{3ACAB5D1-1AF0-4D66-984B-7AF22D6F6B78}">
      <formula1>I37:I39</formula1>
    </dataValidation>
    <dataValidation type="list" allowBlank="1" showInputMessage="1" showErrorMessage="1" sqref="C38" xr:uid="{B60A33E7-8869-41BD-9668-EC5FCF4D25FC}">
      <formula1>I37:I39</formula1>
    </dataValidation>
    <dataValidation type="list" allowBlank="1" showInputMessage="1" showErrorMessage="1" sqref="C37" xr:uid="{CFA1251F-6B92-4722-A2FC-0E5FC9D5910A}">
      <formula1>I37:I39</formula1>
    </dataValidation>
  </dataValidations>
  <hyperlinks>
    <hyperlink ref="B1" location="MEETMED!A1" display="&lt;-MEETMETE NIMEKIRI" xr:uid="{AC499A2C-43DA-454B-9B2B-6BB5729FA16B}"/>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DC07A-1E0C-4CB2-AC1D-A7EB7A3DD6D1}">
  <dimension ref="A1:AE66"/>
  <sheetViews>
    <sheetView showGridLines="0" tabSelected="1" topLeftCell="C2" zoomScale="85" zoomScaleNormal="85" workbookViewId="0">
      <selection activeCell="H21" sqref="H21"/>
    </sheetView>
  </sheetViews>
  <sheetFormatPr defaultRowHeight="15" outlineLevelCol="1" x14ac:dyDescent="0.25"/>
  <cols>
    <col min="1" max="1" width="2" customWidth="1"/>
    <col min="2" max="2" width="10.28515625" style="15" bestFit="1" customWidth="1"/>
    <col min="3" max="3" width="56.5703125" style="15" customWidth="1"/>
    <col min="4" max="4" width="13.85546875" customWidth="1" outlineLevel="1"/>
    <col min="5" max="5" width="11.42578125" customWidth="1" outlineLevel="1"/>
    <col min="6" max="6" width="14.140625" customWidth="1" outlineLevel="1"/>
    <col min="7" max="7" width="11.140625" customWidth="1" outlineLevel="1"/>
    <col min="8" max="8" width="17" customWidth="1"/>
    <col min="9" max="9" width="14" customWidth="1"/>
    <col min="10" max="10" width="12.42578125" customWidth="1"/>
    <col min="11" max="12" width="13.7109375" bestFit="1" customWidth="1"/>
    <col min="13" max="13" width="15" bestFit="1" customWidth="1"/>
    <col min="14" max="14" width="18.140625" bestFit="1" customWidth="1"/>
    <col min="15" max="15" width="18.7109375" bestFit="1" customWidth="1"/>
    <col min="16" max="17" width="18.7109375" customWidth="1"/>
    <col min="18" max="18" width="16.140625" customWidth="1"/>
    <col min="19" max="19" width="18.7109375" customWidth="1"/>
    <col min="25" max="25" width="6.5703125" style="387" customWidth="1"/>
    <col min="27" max="27" width="11.85546875" customWidth="1"/>
    <col min="28" max="28" width="12.7109375" customWidth="1"/>
  </cols>
  <sheetData>
    <row r="1" spans="1:31" ht="24" customHeight="1" x14ac:dyDescent="0.25">
      <c r="C1" s="413"/>
      <c r="T1" s="1018" t="s">
        <v>397</v>
      </c>
      <c r="U1" s="1018"/>
      <c r="V1" s="1018"/>
      <c r="W1" s="1018"/>
      <c r="X1" s="1018"/>
      <c r="Y1" s="333"/>
    </row>
    <row r="2" spans="1:31" ht="97.9" customHeight="1" x14ac:dyDescent="0.25">
      <c r="B2" s="442" t="s">
        <v>0</v>
      </c>
      <c r="C2" s="443" t="s">
        <v>1</v>
      </c>
      <c r="D2" s="444" t="s">
        <v>398</v>
      </c>
      <c r="E2" s="444" t="s">
        <v>399</v>
      </c>
      <c r="F2" s="444" t="s">
        <v>400</v>
      </c>
      <c r="G2" s="444" t="s">
        <v>401</v>
      </c>
      <c r="H2" s="444" t="s">
        <v>402</v>
      </c>
      <c r="I2" s="444" t="s">
        <v>403</v>
      </c>
      <c r="J2" s="445" t="s">
        <v>404</v>
      </c>
      <c r="K2" s="445" t="s">
        <v>405</v>
      </c>
      <c r="L2" s="445" t="s">
        <v>406</v>
      </c>
      <c r="M2" s="445" t="s">
        <v>407</v>
      </c>
      <c r="N2" s="445" t="s">
        <v>408</v>
      </c>
      <c r="O2" s="446" t="s">
        <v>409</v>
      </c>
      <c r="P2" s="445" t="s">
        <v>410</v>
      </c>
      <c r="Q2" s="445" t="s">
        <v>411</v>
      </c>
      <c r="R2" s="447" t="s">
        <v>412</v>
      </c>
      <c r="S2" s="410"/>
      <c r="T2" s="499">
        <v>2030</v>
      </c>
      <c r="U2" s="500">
        <v>2035</v>
      </c>
      <c r="V2" s="500">
        <v>2040</v>
      </c>
      <c r="W2" s="500">
        <v>2045</v>
      </c>
      <c r="X2" s="501">
        <v>2050</v>
      </c>
      <c r="Y2" s="401" t="s">
        <v>413</v>
      </c>
      <c r="AD2" s="374"/>
      <c r="AE2" s="374"/>
    </row>
    <row r="3" spans="1:31" x14ac:dyDescent="0.25">
      <c r="C3" s="39" t="s">
        <v>414</v>
      </c>
      <c r="D3" s="474"/>
      <c r="E3" s="433"/>
      <c r="F3" s="433"/>
      <c r="G3" s="433"/>
      <c r="H3" s="433"/>
      <c r="I3" s="502"/>
      <c r="K3" s="474"/>
      <c r="L3" s="433"/>
      <c r="M3" s="433"/>
      <c r="N3" s="433"/>
      <c r="O3" s="450"/>
      <c r="P3" s="291"/>
      <c r="Q3" s="291"/>
      <c r="R3" s="15"/>
      <c r="S3" s="410"/>
      <c r="T3" s="958"/>
      <c r="U3" s="959"/>
      <c r="V3" s="959"/>
      <c r="W3" s="959"/>
      <c r="X3" s="960"/>
    </row>
    <row r="4" spans="1:31" x14ac:dyDescent="0.25">
      <c r="A4" s="351">
        <v>1</v>
      </c>
      <c r="B4" s="370" t="s">
        <v>7</v>
      </c>
      <c r="C4" s="478" t="s">
        <v>415</v>
      </c>
      <c r="D4" s="475">
        <f ca="1">VLOOKUP(D$2,INDIRECT("'"&amp;$B4&amp;"'!$B$5:$C$74"),2,FALSE)</f>
        <v>25.907258028841216</v>
      </c>
      <c r="E4" s="435">
        <f t="shared" ref="D4:I19" ca="1" si="0">VLOOKUP(E$2,INDIRECT("'"&amp;$B4&amp;"'!$B$5:$C$74"),2,FALSE)</f>
        <v>25.907258028841216</v>
      </c>
      <c r="F4" s="435">
        <f t="shared" ca="1" si="0"/>
        <v>23.519426703757858</v>
      </c>
      <c r="G4" s="435">
        <f t="shared" ca="1" si="0"/>
        <v>23.519426703757858</v>
      </c>
      <c r="H4" s="436">
        <f t="shared" ca="1" si="0"/>
        <v>1123.989740239321</v>
      </c>
      <c r="I4" s="503">
        <f t="shared" ca="1" si="0"/>
        <v>19035.778792368877</v>
      </c>
      <c r="J4" s="507">
        <f ca="1">VLOOKUP("koondskoor:",INDIRECT("'"&amp;$B4&amp;"'!$c$15:$d$74"),2,FALSE)</f>
        <v>5</v>
      </c>
      <c r="K4" s="506">
        <f t="shared" ref="K4:K13" ca="1" si="1">IF($I4="","",MIN(MAX($I4,$S$35),$S$36))</f>
        <v>17467.353123157049</v>
      </c>
      <c r="L4" s="437">
        <f t="shared" ref="L4:L13" ca="1" si="2">IF($K4="","",- $K4)</f>
        <v>-17467.353123157049</v>
      </c>
      <c r="M4" s="438">
        <f t="shared" ref="M4:M13" ca="1" si="3">IF($H4="","",($H4-AVERAGE($H$4:$H$30))/_xlfn.STDEV.P($H$4:$H$30))</f>
        <v>-0.45309530619859406</v>
      </c>
      <c r="N4" s="438">
        <f t="shared" ref="N4:N13" ca="1" si="4">IF($L4="","",($L4-AVERAGE($L$4:$L$30))/_xlfn.STDEV.P($L$4:$L$30))</f>
        <v>-2.944229223618839</v>
      </c>
      <c r="O4" s="451">
        <f t="shared" ref="O4:O13" ca="1" si="5">IF(OR($M4="",$N4=""),"",$S$37*$M4+$S$38*$N4)</f>
        <v>-1.4495488731666919</v>
      </c>
      <c r="P4" s="452" t="str">
        <f ca="1">IF($M4="","",
IF($M4&gt;=_xlfn.PERCENTILE.INC($M$4:$M$30,0.9),"Väga Kõrge",
IF($M4&gt;=_xlfn.PERCENTILE.INC($M$4:$M$30,0.7),"Kõrge",
IF($M4&gt;=_xlfn.PERCENTILE.INC($M$4:$M$30,0.3),"Keskmine",
IF($M4&gt;=_xlfn.PERCENTILE.INC($M$4:$M$30,0.1),"Nõrk","Väga Nõrk")))))</f>
        <v>Nõrk</v>
      </c>
      <c r="Q4" s="452" t="str">
        <f ca="1">IF($N4="","",
IF($N4&gt;=_xlfn.PERCENTILE.INC($N$4:$N$30,0.9),"Väga Kõrge",
IF($N4&gt;=_xlfn.PERCENTILE.INC($N$4:$N$30,0.7),"Kõrge",
IF($N4&gt;=_xlfn.PERCENTILE.INC($N$4:$N$30,0.3),"Keskmine",
IF($N4&gt;=_xlfn.PERCENTILE.INC($N$4:$N$30,0.1),"Nõrk","Väga Nõrk")))))</f>
        <v>Väga Nõrk</v>
      </c>
      <c r="R4" s="452" t="str">
        <f ca="1">IF($O4="","",
IF($O4&gt;=_xlfn.PERCENTILE.INC($O$4:$O$30,0.9),"Väga Kõrge",
IF($O4&gt;=_xlfn.PERCENTILE.INC($O$4:$O$30,0.7),"Kõrge",
IF($O4&gt;=_xlfn.PERCENTILE.INC($O$4:$O$30,0.3),"Keskmine",
IF($O4&gt;=_xlfn.PERCENTILE.INC($O$4:$O$30,0.1),"Nõrk","Väga Nõrk")))))</f>
        <v>Väga Nõrk</v>
      </c>
      <c r="S4" s="410"/>
      <c r="T4" s="456">
        <f t="shared" ref="T4:X19" ca="1" si="6">VLOOKUP(T$2,INDIRECT("'"&amp;$B4&amp;"'!$e$5:$f$74"),2,FALSE)</f>
        <v>224.79794804786414</v>
      </c>
      <c r="U4" s="457">
        <f t="shared" ca="1" si="6"/>
        <v>449.59589609572828</v>
      </c>
      <c r="V4" s="457">
        <f t="shared" ca="1" si="6"/>
        <v>674.39384414359256</v>
      </c>
      <c r="W4" s="457">
        <f t="shared" ca="1" si="6"/>
        <v>899.19179219145656</v>
      </c>
      <c r="X4" s="458">
        <f t="shared" ca="1" si="6"/>
        <v>1123.989740239321</v>
      </c>
      <c r="Y4" s="453">
        <v>1</v>
      </c>
    </row>
    <row r="5" spans="1:31" x14ac:dyDescent="0.25">
      <c r="A5" s="351">
        <v>3</v>
      </c>
      <c r="B5" s="370" t="s">
        <v>416</v>
      </c>
      <c r="C5" s="478" t="s">
        <v>17</v>
      </c>
      <c r="D5" s="475">
        <f t="shared" ca="1" si="0"/>
        <v>0</v>
      </c>
      <c r="E5" s="435">
        <f t="shared" ca="1" si="0"/>
        <v>0</v>
      </c>
      <c r="F5" s="435">
        <f t="shared" ca="1" si="0"/>
        <v>-0.30550813999999976</v>
      </c>
      <c r="G5" s="435">
        <f t="shared" ca="1" si="0"/>
        <v>-0.30550813999999976</v>
      </c>
      <c r="H5" s="436">
        <f t="shared" ca="1" si="0"/>
        <v>231.17518502083337</v>
      </c>
      <c r="I5" s="503">
        <f t="shared" ca="1" si="0"/>
        <v>-1376.6081588932389</v>
      </c>
      <c r="J5" s="507">
        <f t="shared" ref="J5:J30" ca="1" si="7">VLOOKUP("koondskoor:",INDIRECT("'"&amp;$B5&amp;"'!$c$15:$d$74"),2,FALSE)</f>
        <v>4</v>
      </c>
      <c r="K5" s="506">
        <f t="shared" ca="1" si="1"/>
        <v>-1376.6081588932389</v>
      </c>
      <c r="L5" s="437">
        <f t="shared" ca="1" si="2"/>
        <v>1376.6081588932389</v>
      </c>
      <c r="M5" s="438">
        <f t="shared" ca="1" si="3"/>
        <v>-0.46999277722328991</v>
      </c>
      <c r="N5" s="438">
        <f t="shared" ca="1" si="4"/>
        <v>0.38182667396429781</v>
      </c>
      <c r="O5" s="451">
        <f t="shared" ca="1" si="5"/>
        <v>-0.12926499674825481</v>
      </c>
      <c r="P5" s="452" t="str">
        <f t="shared" ref="P5:P30" ca="1" si="8">IF($M5="","",
IF($M5&gt;=_xlfn.PERCENTILE.INC($M$4:$M$30,0.9),"Väga Kõrge",
IF($M5&gt;=_xlfn.PERCENTILE.INC($M$4:$M$30,0.7),"Kõrge",
IF($M5&gt;=_xlfn.PERCENTILE.INC($M$4:$M$30,0.3),"Keskmine",
IF($M5&gt;=_xlfn.PERCENTILE.INC($M$4:$M$30,0.1),"Nõrk","Väga Nõrk")))))</f>
        <v>Nõrk</v>
      </c>
      <c r="Q5" s="452" t="str">
        <f t="shared" ref="Q5:Q30" ca="1" si="9">IF($N5="","",
IF($N5&gt;=_xlfn.PERCENTILE.INC($N$4:$N$30,0.9),"Väga Kõrge",
IF($N5&gt;=_xlfn.PERCENTILE.INC($N$4:$N$30,0.7),"Kõrge",
IF($N5&gt;=_xlfn.PERCENTILE.INC($N$4:$N$30,0.3),"Keskmine",
IF($N5&gt;=_xlfn.PERCENTILE.INC($N$4:$N$30,0.1),"Nõrk","Väga Nõrk")))))</f>
        <v>Kõrge</v>
      </c>
      <c r="R5" s="452" t="str">
        <f t="shared" ref="R5:R30" ca="1" si="10">IF($O5="","",
IF($O5&gt;=_xlfn.PERCENTILE.INC($O$4:$O$30,0.9),"Väga Kõrge",
IF($O5&gt;=_xlfn.PERCENTILE.INC($O$4:$O$30,0.7),"Kõrge",
IF($O5&gt;=_xlfn.PERCENTILE.INC($O$4:$O$30,0.3),"Keskmine",
IF($O5&gt;=_xlfn.PERCENTILE.INC($O$4:$O$30,0.1),"Nõrk","Väga Nõrk")))))</f>
        <v>Keskmine</v>
      </c>
      <c r="S5" s="410"/>
      <c r="T5" s="456">
        <f t="shared" ca="1" si="6"/>
        <v>231.17518502083337</v>
      </c>
      <c r="U5" s="457">
        <f t="shared" ca="1" si="6"/>
        <v>231.17518502083337</v>
      </c>
      <c r="V5" s="457">
        <f t="shared" ca="1" si="6"/>
        <v>231.17518502083337</v>
      </c>
      <c r="W5" s="457">
        <f t="shared" ca="1" si="6"/>
        <v>231.17518502083337</v>
      </c>
      <c r="X5" s="458">
        <f t="shared" ca="1" si="6"/>
        <v>231.17518502083337</v>
      </c>
      <c r="Y5" s="453">
        <v>2</v>
      </c>
    </row>
    <row r="6" spans="1:31" x14ac:dyDescent="0.25">
      <c r="A6" s="351">
        <v>4</v>
      </c>
      <c r="B6" s="370" t="s">
        <v>22</v>
      </c>
      <c r="C6" s="478" t="s">
        <v>417</v>
      </c>
      <c r="D6" s="475">
        <f t="shared" ca="1" si="0"/>
        <v>1.2850005056</v>
      </c>
      <c r="E6" s="435">
        <f t="shared" ca="1" si="0"/>
        <v>1.2850005056</v>
      </c>
      <c r="F6" s="435">
        <f t="shared" ca="1" si="0"/>
        <v>-0.24868163656269293</v>
      </c>
      <c r="G6" s="435">
        <f t="shared" ca="1" si="0"/>
        <v>-0.24868163656269293</v>
      </c>
      <c r="H6" s="436">
        <f t="shared" ca="1" si="0"/>
        <v>0</v>
      </c>
      <c r="I6" s="503">
        <f t="shared" ca="1" si="0"/>
        <v>-195.15907336143994</v>
      </c>
      <c r="J6" s="507">
        <f t="shared" ca="1" si="7"/>
        <v>4</v>
      </c>
      <c r="K6" s="506">
        <f t="shared" ca="1" si="1"/>
        <v>-195.15907336143994</v>
      </c>
      <c r="L6" s="437">
        <f t="shared" ca="1" si="2"/>
        <v>195.15907336143994</v>
      </c>
      <c r="M6" s="438">
        <f t="shared" ca="1" si="3"/>
        <v>-0.47436801502344239</v>
      </c>
      <c r="N6" s="438">
        <f t="shared" ca="1" si="4"/>
        <v>0.17329484566074835</v>
      </c>
      <c r="O6" s="451">
        <f t="shared" ca="1" si="5"/>
        <v>-0.21530287074976612</v>
      </c>
      <c r="P6" s="452" t="str">
        <f t="shared" ca="1" si="8"/>
        <v>Väga Nõrk</v>
      </c>
      <c r="Q6" s="452" t="str">
        <f t="shared" ca="1" si="9"/>
        <v>Keskmine</v>
      </c>
      <c r="R6" s="452" t="str">
        <f t="shared" ca="1" si="10"/>
        <v>Nõrk</v>
      </c>
      <c r="S6" s="410"/>
      <c r="T6" s="456">
        <f t="shared" ca="1" si="6"/>
        <v>1499.3957669092779</v>
      </c>
      <c r="U6" s="457">
        <f t="shared" ca="1" si="6"/>
        <v>1974.453079349179</v>
      </c>
      <c r="V6" s="457">
        <f t="shared" ca="1" si="6"/>
        <v>1462.5900408362261</v>
      </c>
      <c r="W6" s="457">
        <f t="shared" ca="1" si="6"/>
        <v>963.09385131188094</v>
      </c>
      <c r="X6" s="458">
        <f t="shared" ca="1" si="6"/>
        <v>0</v>
      </c>
      <c r="Y6" s="453">
        <v>1</v>
      </c>
    </row>
    <row r="7" spans="1:31" x14ac:dyDescent="0.25">
      <c r="A7" s="351">
        <v>5</v>
      </c>
      <c r="B7" s="370" t="s">
        <v>418</v>
      </c>
      <c r="C7" s="478" t="s">
        <v>419</v>
      </c>
      <c r="D7" s="475">
        <f t="shared" ca="1" si="0"/>
        <v>3.2013782162162156E-2</v>
      </c>
      <c r="E7" s="435">
        <f t="shared" ca="1" si="0"/>
        <v>3.2013782162162156E-2</v>
      </c>
      <c r="F7" s="435">
        <f t="shared" ca="1" si="0"/>
        <v>-0.27389471783783786</v>
      </c>
      <c r="G7" s="435">
        <f t="shared" ca="1" si="0"/>
        <v>-0.27389471783783786</v>
      </c>
      <c r="H7" s="436">
        <f t="shared" ca="1" si="0"/>
        <v>39.402000000000008</v>
      </c>
      <c r="I7" s="503">
        <f t="shared" ca="1" si="0"/>
        <v>-557708.33784904121</v>
      </c>
      <c r="J7" s="507">
        <f t="shared" ca="1" si="7"/>
        <v>2</v>
      </c>
      <c r="K7" s="506">
        <f t="shared" ca="1" si="1"/>
        <v>-5452.5572655951155</v>
      </c>
      <c r="L7" s="437">
        <f t="shared" ca="1" si="2"/>
        <v>5452.5572655951155</v>
      </c>
      <c r="M7" s="438">
        <f t="shared" ca="1" si="3"/>
        <v>-0.47362229000202166</v>
      </c>
      <c r="N7" s="438">
        <f t="shared" ca="1" si="4"/>
        <v>1.1012526142790864</v>
      </c>
      <c r="O7" s="451">
        <f t="shared" ca="1" si="5"/>
        <v>0.15632767171042156</v>
      </c>
      <c r="P7" s="452" t="str">
        <f t="shared" ca="1" si="8"/>
        <v>Väga Nõrk</v>
      </c>
      <c r="Q7" s="452" t="str">
        <f t="shared" ca="1" si="9"/>
        <v>Väga Kõrge</v>
      </c>
      <c r="R7" s="452" t="str">
        <f t="shared" ca="1" si="10"/>
        <v>Kõrge</v>
      </c>
      <c r="S7" s="410"/>
      <c r="T7" s="456">
        <f t="shared" ca="1" si="6"/>
        <v>0</v>
      </c>
      <c r="U7" s="457">
        <f t="shared" ca="1" si="6"/>
        <v>0.5</v>
      </c>
      <c r="V7" s="457">
        <f t="shared" ca="1" si="6"/>
        <v>0</v>
      </c>
      <c r="W7" s="457">
        <f t="shared" ca="1" si="6"/>
        <v>0</v>
      </c>
      <c r="X7" s="458">
        <f t="shared" ca="1" si="6"/>
        <v>0</v>
      </c>
      <c r="Y7" s="453">
        <v>3</v>
      </c>
    </row>
    <row r="8" spans="1:31" x14ac:dyDescent="0.25">
      <c r="A8" s="351">
        <v>7</v>
      </c>
      <c r="B8" s="370" t="s">
        <v>420</v>
      </c>
      <c r="C8" s="478" t="s">
        <v>421</v>
      </c>
      <c r="D8" s="475">
        <f t="shared" ca="1" si="0"/>
        <v>0</v>
      </c>
      <c r="E8" s="435">
        <f t="shared" ca="1" si="0"/>
        <v>0</v>
      </c>
      <c r="F8" s="435">
        <f t="shared" ca="1" si="0"/>
        <v>-2.3516541885714286</v>
      </c>
      <c r="G8" s="435">
        <f t="shared" ca="1" si="0"/>
        <v>0.184</v>
      </c>
      <c r="H8" s="436">
        <f t="shared" ca="1" si="0"/>
        <v>1354.9234782608683</v>
      </c>
      <c r="I8" s="503">
        <f t="shared" ca="1" si="0"/>
        <v>-1195.2901176027383</v>
      </c>
      <c r="J8" s="507">
        <f t="shared" ca="1" si="7"/>
        <v>3</v>
      </c>
      <c r="K8" s="506">
        <f t="shared" ca="1" si="1"/>
        <v>-1195.2901176027383</v>
      </c>
      <c r="L8" s="437">
        <f t="shared" ca="1" si="2"/>
        <v>1195.2901176027383</v>
      </c>
      <c r="M8" s="438">
        <f t="shared" ca="1" si="3"/>
        <v>-0.44872463804132051</v>
      </c>
      <c r="N8" s="438">
        <f t="shared" ca="1" si="4"/>
        <v>0.34982310892052182</v>
      </c>
      <c r="O8" s="451">
        <f t="shared" ca="1" si="5"/>
        <v>-0.12930553925658356</v>
      </c>
      <c r="P8" s="452" t="str">
        <f t="shared" ca="1" si="8"/>
        <v>Keskmine</v>
      </c>
      <c r="Q8" s="452" t="str">
        <f t="shared" ca="1" si="9"/>
        <v>Keskmine</v>
      </c>
      <c r="R8" s="452" t="str">
        <f t="shared" ca="1" si="10"/>
        <v>Keskmine</v>
      </c>
      <c r="S8" s="410"/>
      <c r="T8" s="456">
        <f t="shared" ca="1" si="6"/>
        <v>383.42007561436674</v>
      </c>
      <c r="U8" s="457">
        <f t="shared" ca="1" si="6"/>
        <v>818.04001890359143</v>
      </c>
      <c r="V8" s="457">
        <f t="shared" ca="1" si="6"/>
        <v>1124.8305671077501</v>
      </c>
      <c r="W8" s="457">
        <f t="shared" ca="1" si="6"/>
        <v>1303.7917202268422</v>
      </c>
      <c r="X8" s="458">
        <f t="shared" ca="1" si="6"/>
        <v>1354.9234782608683</v>
      </c>
      <c r="Y8" s="453">
        <v>2</v>
      </c>
    </row>
    <row r="9" spans="1:31" x14ac:dyDescent="0.25">
      <c r="A9" s="351">
        <v>8</v>
      </c>
      <c r="B9" s="370" t="s">
        <v>54</v>
      </c>
      <c r="C9" s="478" t="s">
        <v>422</v>
      </c>
      <c r="D9" s="475">
        <f t="shared" ca="1" si="0"/>
        <v>369.73205519724058</v>
      </c>
      <c r="E9" s="435">
        <f t="shared" ca="1" si="0"/>
        <v>0</v>
      </c>
      <c r="F9" s="435">
        <f t="shared" ca="1" si="0"/>
        <v>339.8434692936188</v>
      </c>
      <c r="G9" s="435">
        <f t="shared" ca="1" si="0"/>
        <v>0</v>
      </c>
      <c r="H9" s="436">
        <f t="shared" ca="1" si="0"/>
        <v>13646.356349302538</v>
      </c>
      <c r="I9" s="503">
        <f t="shared" ca="1" si="0"/>
        <v>31611.516037792979</v>
      </c>
      <c r="J9" s="507">
        <f t="shared" ca="1" si="7"/>
        <v>4</v>
      </c>
      <c r="K9" s="506">
        <f t="shared" ca="1" si="1"/>
        <v>17467.353123157049</v>
      </c>
      <c r="L9" s="437">
        <f t="shared" ca="1" si="2"/>
        <v>-17467.353123157049</v>
      </c>
      <c r="M9" s="438">
        <f t="shared" ca="1" si="3"/>
        <v>-0.21609611560466055</v>
      </c>
      <c r="N9" s="438">
        <f t="shared" ca="1" si="4"/>
        <v>-2.944229223618839</v>
      </c>
      <c r="O9" s="451">
        <f t="shared" ca="1" si="5"/>
        <v>-1.307349358810332</v>
      </c>
      <c r="P9" s="452" t="str">
        <f t="shared" ca="1" si="8"/>
        <v>Kõrge</v>
      </c>
      <c r="Q9" s="452" t="str">
        <f t="shared" ca="1" si="9"/>
        <v>Väga Nõrk</v>
      </c>
      <c r="R9" s="452" t="str">
        <f t="shared" ca="1" si="10"/>
        <v>Väga Nõrk</v>
      </c>
      <c r="S9" s="410"/>
      <c r="T9" s="456">
        <f t="shared" ca="1" si="6"/>
        <v>8747.6643264759878</v>
      </c>
      <c r="U9" s="457">
        <f t="shared" ca="1" si="6"/>
        <v>13121.496489713978</v>
      </c>
      <c r="V9" s="457">
        <f t="shared" ca="1" si="6"/>
        <v>13121.496489713969</v>
      </c>
      <c r="W9" s="457">
        <f t="shared" ca="1" si="6"/>
        <v>8747.6643264759641</v>
      </c>
      <c r="X9" s="458">
        <f t="shared" ca="1" si="6"/>
        <v>0</v>
      </c>
      <c r="Y9" s="453">
        <v>1</v>
      </c>
    </row>
    <row r="10" spans="1:31" x14ac:dyDescent="0.25">
      <c r="A10" s="351">
        <v>9</v>
      </c>
      <c r="B10" s="371" t="s">
        <v>62</v>
      </c>
      <c r="C10" s="479" t="s">
        <v>423</v>
      </c>
      <c r="D10" s="475">
        <f t="shared" ca="1" si="0"/>
        <v>2.4111461442777782</v>
      </c>
      <c r="E10" s="435">
        <f t="shared" ca="1" si="0"/>
        <v>1.2055730721388891</v>
      </c>
      <c r="F10" s="435">
        <f t="shared" ca="1" si="0"/>
        <v>2.4111461442777782</v>
      </c>
      <c r="G10" s="435">
        <f t="shared" ca="1" si="0"/>
        <v>1.2055730721388891</v>
      </c>
      <c r="H10" s="436">
        <f t="shared" ca="1" si="0"/>
        <v>74725.423006202123</v>
      </c>
      <c r="I10" s="503">
        <f t="shared" ca="1" si="0"/>
        <v>25.228203120193697</v>
      </c>
      <c r="J10" s="507">
        <f t="shared" ca="1" si="7"/>
        <v>4</v>
      </c>
      <c r="K10" s="506">
        <f t="shared" ca="1" si="1"/>
        <v>25.228203120193697</v>
      </c>
      <c r="L10" s="437">
        <f t="shared" ca="1" si="2"/>
        <v>-25.228203120193697</v>
      </c>
      <c r="M10" s="438">
        <f t="shared" ca="1" si="3"/>
        <v>0.93989059296535993</v>
      </c>
      <c r="N10" s="438">
        <f t="shared" ca="1" si="4"/>
        <v>0.13439536005247246</v>
      </c>
      <c r="O10" s="451">
        <f t="shared" ca="1" si="5"/>
        <v>0.61769249980020491</v>
      </c>
      <c r="P10" s="452" t="str">
        <f t="shared" ca="1" si="8"/>
        <v>Väga Kõrge</v>
      </c>
      <c r="Q10" s="452" t="str">
        <f t="shared" ca="1" si="9"/>
        <v>Nõrk</v>
      </c>
      <c r="R10" s="452" t="str">
        <f t="shared" ca="1" si="10"/>
        <v>Väga Kõrge</v>
      </c>
      <c r="S10" s="410"/>
      <c r="T10" s="456">
        <f t="shared" ca="1" si="6"/>
        <v>9746.7943051568</v>
      </c>
      <c r="U10" s="457">
        <f t="shared" ca="1" si="6"/>
        <v>25991.451480418138</v>
      </c>
      <c r="V10" s="457">
        <f t="shared" ca="1" si="6"/>
        <v>42236.108655679483</v>
      </c>
      <c r="W10" s="457">
        <f t="shared" ca="1" si="6"/>
        <v>58480.765830940807</v>
      </c>
      <c r="X10" s="458">
        <f t="shared" ca="1" si="6"/>
        <v>74725.423006202123</v>
      </c>
      <c r="Y10" s="453">
        <v>1</v>
      </c>
    </row>
    <row r="11" spans="1:31" x14ac:dyDescent="0.25">
      <c r="A11" s="351">
        <v>10</v>
      </c>
      <c r="B11" s="371" t="s">
        <v>66</v>
      </c>
      <c r="C11" s="479" t="s">
        <v>424</v>
      </c>
      <c r="D11" s="475">
        <f t="shared" ca="1" si="0"/>
        <v>0</v>
      </c>
      <c r="E11" s="435">
        <f t="shared" ca="1" si="0"/>
        <v>0</v>
      </c>
      <c r="F11" s="435">
        <f t="shared" ca="1" si="0"/>
        <v>0</v>
      </c>
      <c r="G11" s="435">
        <f t="shared" ca="1" si="0"/>
        <v>0</v>
      </c>
      <c r="H11" s="436">
        <f t="shared" ca="1" si="0"/>
        <v>202486.8</v>
      </c>
      <c r="I11" s="503">
        <f t="shared" ca="1" si="0"/>
        <v>0</v>
      </c>
      <c r="J11" s="507">
        <f t="shared" ca="1" si="7"/>
        <v>5</v>
      </c>
      <c r="K11" s="506">
        <f t="shared" ca="1" si="1"/>
        <v>0</v>
      </c>
      <c r="L11" s="437">
        <f t="shared" ca="1" si="2"/>
        <v>0</v>
      </c>
      <c r="M11" s="438">
        <f t="shared" ca="1" si="3"/>
        <v>3.3579113938243164</v>
      </c>
      <c r="N11" s="438">
        <f t="shared" ca="1" si="4"/>
        <v>0.13884826740657927</v>
      </c>
      <c r="O11" s="451">
        <f t="shared" ca="1" si="5"/>
        <v>2.0702861432572215</v>
      </c>
      <c r="P11" s="452" t="str">
        <f t="shared" ca="1" si="8"/>
        <v>Väga Kõrge</v>
      </c>
      <c r="Q11" s="452" t="str">
        <f t="shared" ca="1" si="9"/>
        <v>Keskmine</v>
      </c>
      <c r="R11" s="452" t="str">
        <f t="shared" ca="1" si="10"/>
        <v>Väga Kõrge</v>
      </c>
      <c r="S11" s="410"/>
      <c r="T11" s="456">
        <f t="shared" ca="1" si="6"/>
        <v>202486.8</v>
      </c>
      <c r="U11" s="457">
        <f t="shared" ca="1" si="6"/>
        <v>202486.8</v>
      </c>
      <c r="V11" s="457">
        <f t="shared" ca="1" si="6"/>
        <v>202486.8</v>
      </c>
      <c r="W11" s="457">
        <f t="shared" ca="1" si="6"/>
        <v>202486.8</v>
      </c>
      <c r="X11" s="458">
        <f t="shared" ca="1" si="6"/>
        <v>202486.8</v>
      </c>
      <c r="Y11" s="453">
        <v>1</v>
      </c>
    </row>
    <row r="12" spans="1:31" x14ac:dyDescent="0.25">
      <c r="A12" s="351">
        <v>11</v>
      </c>
      <c r="B12" s="371" t="s">
        <v>71</v>
      </c>
      <c r="C12" s="479" t="s">
        <v>72</v>
      </c>
      <c r="D12" s="475">
        <f t="shared" ca="1" si="0"/>
        <v>0.52</v>
      </c>
      <c r="E12" s="435">
        <f t="shared" ca="1" si="0"/>
        <v>0.91</v>
      </c>
      <c r="F12" s="435">
        <f t="shared" ca="1" si="0"/>
        <v>-1.69468</v>
      </c>
      <c r="G12" s="435">
        <f t="shared" ca="1" si="0"/>
        <v>-1.69468</v>
      </c>
      <c r="H12" s="436">
        <f t="shared" ca="1" si="0"/>
        <v>0</v>
      </c>
      <c r="I12" s="503" t="str">
        <f t="shared" ca="1" si="0"/>
        <v>NA</v>
      </c>
      <c r="J12" s="507">
        <f t="shared" ca="1" si="7"/>
        <v>4</v>
      </c>
      <c r="K12" s="506">
        <f t="shared" ca="1" si="1"/>
        <v>-5452.5572655951155</v>
      </c>
      <c r="L12" s="437">
        <f t="shared" ca="1" si="2"/>
        <v>5452.5572655951155</v>
      </c>
      <c r="M12" s="438">
        <f t="shared" ca="1" si="3"/>
        <v>-0.47436801502344239</v>
      </c>
      <c r="N12" s="438">
        <f t="shared" ca="1" si="4"/>
        <v>1.1012526142790864</v>
      </c>
      <c r="O12" s="451">
        <f t="shared" ca="1" si="5"/>
        <v>0.15588023669756912</v>
      </c>
      <c r="P12" s="452" t="str">
        <f t="shared" ca="1" si="8"/>
        <v>Väga Nõrk</v>
      </c>
      <c r="Q12" s="452" t="str">
        <f t="shared" ca="1" si="9"/>
        <v>Väga Kõrge</v>
      </c>
      <c r="R12" s="452" t="str">
        <f t="shared" ca="1" si="10"/>
        <v>Kõrge</v>
      </c>
      <c r="S12" s="410"/>
      <c r="T12" s="456">
        <f t="shared" ca="1" si="6"/>
        <v>0</v>
      </c>
      <c r="U12" s="457">
        <f t="shared" ca="1" si="6"/>
        <v>0</v>
      </c>
      <c r="V12" s="457">
        <f t="shared" ca="1" si="6"/>
        <v>0</v>
      </c>
      <c r="W12" s="457">
        <f t="shared" ca="1" si="6"/>
        <v>0</v>
      </c>
      <c r="X12" s="458">
        <f t="shared" ca="1" si="6"/>
        <v>0</v>
      </c>
      <c r="Y12" s="453">
        <v>1</v>
      </c>
    </row>
    <row r="13" spans="1:31" x14ac:dyDescent="0.25">
      <c r="A13" s="351">
        <v>79</v>
      </c>
      <c r="B13" s="480" t="s">
        <v>87</v>
      </c>
      <c r="C13" s="481" t="s">
        <v>88</v>
      </c>
      <c r="D13" s="476">
        <f t="shared" ca="1" si="0"/>
        <v>6.4570483952639997</v>
      </c>
      <c r="E13" s="448">
        <f t="shared" ca="1" si="0"/>
        <v>0</v>
      </c>
      <c r="F13" s="448">
        <f t="shared" ca="1" si="0"/>
        <v>6.4570483952639997</v>
      </c>
      <c r="G13" s="448">
        <f t="shared" ca="1" si="0"/>
        <v>0</v>
      </c>
      <c r="H13" s="449">
        <f t="shared" ca="1" si="0"/>
        <v>188037.93418898198</v>
      </c>
      <c r="I13" s="504">
        <f t="shared" ca="1" si="0"/>
        <v>26.414671728191493</v>
      </c>
      <c r="J13" s="507">
        <f t="shared" ca="1" si="7"/>
        <v>4</v>
      </c>
      <c r="K13" s="506">
        <f t="shared" ca="1" si="1"/>
        <v>26.414671728191493</v>
      </c>
      <c r="L13" s="437">
        <f t="shared" ca="1" si="2"/>
        <v>-26.414671728191493</v>
      </c>
      <c r="M13" s="438">
        <f t="shared" ca="1" si="3"/>
        <v>3.084451143927688</v>
      </c>
      <c r="N13" s="438">
        <f t="shared" ca="1" si="4"/>
        <v>0.13418594225268707</v>
      </c>
      <c r="O13" s="451">
        <f t="shared" ca="1" si="5"/>
        <v>1.9043450632576875</v>
      </c>
      <c r="P13" s="452" t="str">
        <f t="shared" ca="1" si="8"/>
        <v>Väga Kõrge</v>
      </c>
      <c r="Q13" s="452" t="str">
        <f t="shared" ca="1" si="9"/>
        <v>Nõrk</v>
      </c>
      <c r="R13" s="452" t="str">
        <f t="shared" ca="1" si="10"/>
        <v>Väga Kõrge</v>
      </c>
      <c r="S13" s="410"/>
      <c r="T13" s="459">
        <f t="shared" ca="1" si="6"/>
        <v>31339.65569816365</v>
      </c>
      <c r="U13" s="460">
        <f t="shared" ca="1" si="6"/>
        <v>70514.225320868209</v>
      </c>
      <c r="V13" s="460">
        <f t="shared" ca="1" si="6"/>
        <v>109688.79494357278</v>
      </c>
      <c r="W13" s="460">
        <f t="shared" ca="1" si="6"/>
        <v>148863.36456627736</v>
      </c>
      <c r="X13" s="461">
        <f t="shared" ca="1" si="6"/>
        <v>188037.93418898198</v>
      </c>
      <c r="Y13" s="454">
        <v>1</v>
      </c>
      <c r="AA13" s="406"/>
      <c r="AB13" s="219"/>
    </row>
    <row r="14" spans="1:31" x14ac:dyDescent="0.25">
      <c r="C14" s="39" t="s">
        <v>425</v>
      </c>
      <c r="D14" s="474"/>
      <c r="E14" s="433"/>
      <c r="F14" s="433"/>
      <c r="G14" s="433"/>
      <c r="H14" s="433"/>
      <c r="I14" s="502"/>
      <c r="K14" s="506"/>
      <c r="L14" s="437"/>
      <c r="M14" s="438"/>
      <c r="N14" s="438"/>
      <c r="O14" s="451"/>
      <c r="P14" s="452"/>
      <c r="Q14" s="452"/>
      <c r="R14" s="452" t="str">
        <f t="shared" si="10"/>
        <v/>
      </c>
      <c r="S14" s="410"/>
      <c r="T14" s="958"/>
      <c r="U14" s="959"/>
      <c r="V14" s="959"/>
      <c r="W14" s="959"/>
      <c r="X14" s="960"/>
    </row>
    <row r="15" spans="1:31" x14ac:dyDescent="0.25">
      <c r="A15" s="351">
        <v>13</v>
      </c>
      <c r="B15" s="376" t="s">
        <v>426</v>
      </c>
      <c r="C15" s="482" t="s">
        <v>96</v>
      </c>
      <c r="D15" s="477">
        <f ca="1">VLOOKUP(D$2,INDIRECT("'"&amp;$B15&amp;"'!$B$5:$C$74"),2,FALSE)</f>
        <v>58.046666666666681</v>
      </c>
      <c r="E15" s="440">
        <f t="shared" ca="1" si="0"/>
        <v>58.046666666666681</v>
      </c>
      <c r="F15" s="440">
        <f t="shared" ca="1" si="0"/>
        <v>49.983871784014376</v>
      </c>
      <c r="G15" s="440">
        <f t="shared" ca="1" si="0"/>
        <v>63.690041107803253</v>
      </c>
      <c r="H15" s="441">
        <f t="shared" ca="1" si="0"/>
        <v>15480.302663765948</v>
      </c>
      <c r="I15" s="505">
        <f t="shared" ca="1" si="0"/>
        <v>4678.5605222257418</v>
      </c>
      <c r="J15" s="507">
        <f t="shared" ca="1" si="7"/>
        <v>3</v>
      </c>
      <c r="K15" s="506">
        <f t="shared" ref="K15:K26" ca="1" si="11">IF($I15="","",MIN(MAX($I15,$S$35),$S$36))</f>
        <v>4678.5605222257418</v>
      </c>
      <c r="L15" s="437">
        <f t="shared" ref="L15:L26" ca="1" si="12">IF($K15="","",- $K15)</f>
        <v>-4678.5605222257418</v>
      </c>
      <c r="M15" s="438">
        <f t="shared" ref="M15:M26" ca="1" si="13">IF($H15="","",($H15-AVERAGE($H$4:$H$30))/_xlfn.STDEV.P($H$4:$H$30))</f>
        <v>-0.1813867187558271</v>
      </c>
      <c r="N15" s="438">
        <f t="shared" ref="N15:N26" ca="1" si="14">IF($L15="","",($L15-AVERAGE($L$4:$L$30))/_xlfn.STDEV.P($L$4:$L$30))</f>
        <v>-0.68694168112039322</v>
      </c>
      <c r="O15" s="451">
        <f t="shared" ref="O15:O26" ca="1" si="15">IF(OR($M15="",$N15=""),"",$S$37*$M15+$S$38*$N15)</f>
        <v>-0.38360870370165356</v>
      </c>
      <c r="P15" s="452" t="str">
        <f t="shared" ca="1" si="8"/>
        <v>Kõrge</v>
      </c>
      <c r="Q15" s="452" t="str">
        <f t="shared" ca="1" si="9"/>
        <v>Nõrk</v>
      </c>
      <c r="R15" s="452" t="str">
        <f t="shared" ca="1" si="10"/>
        <v>Nõrk</v>
      </c>
      <c r="S15" s="410"/>
      <c r="T15" s="462">
        <f t="shared" ca="1" si="6"/>
        <v>222.25391976067604</v>
      </c>
      <c r="U15" s="463">
        <f t="shared" ca="1" si="6"/>
        <v>129.21763794436976</v>
      </c>
      <c r="V15" s="463">
        <f t="shared" ca="1" si="6"/>
        <v>14537.459355932653</v>
      </c>
      <c r="W15" s="463">
        <f t="shared" ca="1" si="6"/>
        <v>11039.504294770852</v>
      </c>
      <c r="X15" s="464">
        <f t="shared" ca="1" si="6"/>
        <v>8396.0486870141704</v>
      </c>
      <c r="Y15" s="455">
        <v>5</v>
      </c>
    </row>
    <row r="16" spans="1:31" x14ac:dyDescent="0.25">
      <c r="A16" s="351">
        <v>23</v>
      </c>
      <c r="B16" s="372" t="s">
        <v>130</v>
      </c>
      <c r="C16" s="483" t="s">
        <v>427</v>
      </c>
      <c r="D16" s="475">
        <f t="shared" ca="1" si="0"/>
        <v>0</v>
      </c>
      <c r="E16" s="435">
        <f t="shared" ca="1" si="0"/>
        <v>0</v>
      </c>
      <c r="F16" s="435">
        <f t="shared" ca="1" si="0"/>
        <v>-0.91172812207138787</v>
      </c>
      <c r="G16" s="435">
        <f t="shared" ca="1" si="0"/>
        <v>4.0000000000000001E-3</v>
      </c>
      <c r="H16" s="436">
        <f t="shared" ca="1" si="0"/>
        <v>1348.1540832411406</v>
      </c>
      <c r="I16" s="503">
        <f t="shared" ca="1" si="0"/>
        <v>-1959.2416970931708</v>
      </c>
      <c r="J16" s="507">
        <f t="shared" ca="1" si="7"/>
        <v>3</v>
      </c>
      <c r="K16" s="506">
        <f t="shared" ca="1" si="11"/>
        <v>-1959.2416970931708</v>
      </c>
      <c r="L16" s="437">
        <f t="shared" ca="1" si="12"/>
        <v>1959.2416970931708</v>
      </c>
      <c r="M16" s="438">
        <f t="shared" ca="1" si="13"/>
        <v>-0.44885275608725961</v>
      </c>
      <c r="N16" s="438">
        <f t="shared" ca="1" si="14"/>
        <v>0.48466448427679948</v>
      </c>
      <c r="O16" s="451">
        <f t="shared" ca="1" si="15"/>
        <v>-7.5445859941635968E-2</v>
      </c>
      <c r="P16" s="452" t="str">
        <f t="shared" ca="1" si="8"/>
        <v>Nõrk</v>
      </c>
      <c r="Q16" s="452" t="str">
        <f t="shared" ca="1" si="9"/>
        <v>Kõrge</v>
      </c>
      <c r="R16" s="452" t="str">
        <f t="shared" ca="1" si="10"/>
        <v>Keskmine</v>
      </c>
      <c r="S16" s="410"/>
      <c r="T16" s="456">
        <f t="shared" ca="1" si="6"/>
        <v>1174.3597746536723</v>
      </c>
      <c r="U16" s="457">
        <f t="shared" ca="1" si="6"/>
        <v>892.16937957763048</v>
      </c>
      <c r="V16" s="457">
        <f t="shared" ca="1" si="6"/>
        <v>622.1460945683026</v>
      </c>
      <c r="W16" s="457">
        <f t="shared" ca="1" si="6"/>
        <v>442.13705170228781</v>
      </c>
      <c r="X16" s="458">
        <f t="shared" ca="1" si="6"/>
        <v>284.26652607715044</v>
      </c>
      <c r="Y16" s="453">
        <v>1</v>
      </c>
    </row>
    <row r="17" spans="1:28" x14ac:dyDescent="0.25">
      <c r="A17" s="351">
        <v>24</v>
      </c>
      <c r="B17" s="372" t="s">
        <v>134</v>
      </c>
      <c r="C17" s="483" t="s">
        <v>428</v>
      </c>
      <c r="D17" s="475" t="str">
        <f t="shared" ca="1" si="0"/>
        <v>1,5</v>
      </c>
      <c r="E17" s="435" t="str">
        <f t="shared" ca="1" si="0"/>
        <v>1,5</v>
      </c>
      <c r="F17" s="435">
        <f t="shared" ca="1" si="0"/>
        <v>10.0483222045575</v>
      </c>
      <c r="G17" s="435">
        <f t="shared" ca="1" si="0"/>
        <v>10.0483222045575</v>
      </c>
      <c r="H17" s="436">
        <f t="shared" ca="1" si="0"/>
        <v>31238.378359999999</v>
      </c>
      <c r="I17" s="503">
        <f t="shared" ca="1" si="0"/>
        <v>334.44293992777767</v>
      </c>
      <c r="J17" s="507">
        <f t="shared" ca="1" si="7"/>
        <v>5</v>
      </c>
      <c r="K17" s="506">
        <f t="shared" ca="1" si="11"/>
        <v>334.44293992777767</v>
      </c>
      <c r="L17" s="437">
        <f t="shared" ca="1" si="12"/>
        <v>-334.44293992777767</v>
      </c>
      <c r="M17" s="438">
        <f t="shared" ca="1" si="13"/>
        <v>0.11685172944791788</v>
      </c>
      <c r="N17" s="438">
        <f t="shared" ca="1" si="14"/>
        <v>7.9817371720574265E-2</v>
      </c>
      <c r="O17" s="451">
        <f t="shared" ca="1" si="15"/>
        <v>0.10203798635698043</v>
      </c>
      <c r="P17" s="452" t="str">
        <f t="shared" ca="1" si="8"/>
        <v>Kõrge</v>
      </c>
      <c r="Q17" s="452" t="str">
        <f t="shared" ca="1" si="9"/>
        <v>Nõrk</v>
      </c>
      <c r="R17" s="452" t="str">
        <f t="shared" ca="1" si="10"/>
        <v>Kõrge</v>
      </c>
      <c r="S17" s="410"/>
      <c r="T17" s="456">
        <f t="shared" ca="1" si="6"/>
        <v>13883.723715555556</v>
      </c>
      <c r="U17" s="457">
        <f t="shared" ca="1" si="6"/>
        <v>31238.378359999999</v>
      </c>
      <c r="V17" s="457">
        <f t="shared" ca="1" si="6"/>
        <v>31238.378359999999</v>
      </c>
      <c r="W17" s="457">
        <f t="shared" ca="1" si="6"/>
        <v>31238.378359999999</v>
      </c>
      <c r="X17" s="458">
        <f t="shared" ca="1" si="6"/>
        <v>31238.378359999999</v>
      </c>
      <c r="Y17" s="453">
        <v>1</v>
      </c>
    </row>
    <row r="18" spans="1:28" x14ac:dyDescent="0.25">
      <c r="A18" s="351">
        <v>25</v>
      </c>
      <c r="B18" s="372" t="s">
        <v>429</v>
      </c>
      <c r="C18" s="483" t="s">
        <v>139</v>
      </c>
      <c r="D18" s="475">
        <f t="shared" ca="1" si="0"/>
        <v>2.4</v>
      </c>
      <c r="E18" s="435">
        <f t="shared" ca="1" si="0"/>
        <v>2.4</v>
      </c>
      <c r="F18" s="435">
        <f t="shared" ca="1" si="0"/>
        <v>0.27785072140886058</v>
      </c>
      <c r="G18" s="435">
        <f t="shared" ca="1" si="0"/>
        <v>2.4</v>
      </c>
      <c r="H18" s="436">
        <f t="shared" ca="1" si="0"/>
        <v>2172.0434925644445</v>
      </c>
      <c r="I18" s="503">
        <f t="shared" ca="1" si="0"/>
        <v>-845.23739861533659</v>
      </c>
      <c r="J18" s="507">
        <f t="shared" ca="1" si="7"/>
        <v>4</v>
      </c>
      <c r="K18" s="506">
        <f t="shared" ca="1" si="11"/>
        <v>-845.23739861533659</v>
      </c>
      <c r="L18" s="437">
        <f t="shared" ca="1" si="12"/>
        <v>845.23739861533659</v>
      </c>
      <c r="M18" s="438">
        <f t="shared" ca="1" si="13"/>
        <v>-0.43325976721826948</v>
      </c>
      <c r="N18" s="438">
        <f t="shared" ca="1" si="14"/>
        <v>0.28803700710114999</v>
      </c>
      <c r="O18" s="451">
        <f t="shared" ca="1" si="15"/>
        <v>-0.1447410574905017</v>
      </c>
      <c r="P18" s="452" t="str">
        <f t="shared" ca="1" si="8"/>
        <v>Keskmine</v>
      </c>
      <c r="Q18" s="452" t="str">
        <f t="shared" ca="1" si="9"/>
        <v>Keskmine</v>
      </c>
      <c r="R18" s="452" t="str">
        <f t="shared" ca="1" si="10"/>
        <v>Keskmine</v>
      </c>
      <c r="S18" s="410"/>
      <c r="T18" s="456">
        <f t="shared" ca="1" si="6"/>
        <v>1289.4152931163628</v>
      </c>
      <c r="U18" s="457">
        <f t="shared" ca="1" si="6"/>
        <v>2089.7661143259816</v>
      </c>
      <c r="V18" s="457">
        <f t="shared" ca="1" si="6"/>
        <v>1821.5989255378224</v>
      </c>
      <c r="W18" s="457">
        <f t="shared" ca="1" si="6"/>
        <v>1294.5454216508426</v>
      </c>
      <c r="X18" s="458">
        <f t="shared" ca="1" si="6"/>
        <v>832.31190067634111</v>
      </c>
      <c r="Y18" s="453">
        <v>6</v>
      </c>
    </row>
    <row r="19" spans="1:28" x14ac:dyDescent="0.25">
      <c r="A19" s="351">
        <v>31</v>
      </c>
      <c r="B19" s="372" t="s">
        <v>430</v>
      </c>
      <c r="C19" s="483" t="s">
        <v>164</v>
      </c>
      <c r="D19" s="475">
        <f t="shared" ca="1" si="0"/>
        <v>0.88</v>
      </c>
      <c r="E19" s="435">
        <f t="shared" ca="1" si="0"/>
        <v>0.88</v>
      </c>
      <c r="F19" s="435">
        <f t="shared" ca="1" si="0"/>
        <v>-0.90702942870218828</v>
      </c>
      <c r="G19" s="435">
        <f t="shared" ca="1" si="0"/>
        <v>0.88</v>
      </c>
      <c r="H19" s="436">
        <f t="shared" ca="1" si="0"/>
        <v>2667.8985016088145</v>
      </c>
      <c r="I19" s="503">
        <f t="shared" ca="1" si="0"/>
        <v>-2341.3408077278136</v>
      </c>
      <c r="J19" s="507">
        <f t="shared" ca="1" si="7"/>
        <v>2</v>
      </c>
      <c r="K19" s="506">
        <f t="shared" ca="1" si="11"/>
        <v>-2341.3408077278136</v>
      </c>
      <c r="L19" s="437">
        <f t="shared" ca="1" si="12"/>
        <v>2341.3408077278136</v>
      </c>
      <c r="M19" s="438">
        <f t="shared" ca="1" si="13"/>
        <v>-0.42387518046528228</v>
      </c>
      <c r="N19" s="438">
        <f t="shared" ca="1" si="14"/>
        <v>0.55210693872496253</v>
      </c>
      <c r="O19" s="451">
        <f t="shared" ca="1" si="15"/>
        <v>-3.348233278918436E-2</v>
      </c>
      <c r="P19" s="452" t="str">
        <f t="shared" ca="1" si="8"/>
        <v>Keskmine</v>
      </c>
      <c r="Q19" s="452" t="str">
        <f t="shared" ca="1" si="9"/>
        <v>Kõrge</v>
      </c>
      <c r="R19" s="452" t="str">
        <f t="shared" ca="1" si="10"/>
        <v>Keskmine</v>
      </c>
      <c r="S19" s="410"/>
      <c r="T19" s="456">
        <f t="shared" ca="1" si="6"/>
        <v>0</v>
      </c>
      <c r="U19" s="457">
        <f t="shared" ca="1" si="6"/>
        <v>0</v>
      </c>
      <c r="V19" s="457">
        <f t="shared" ca="1" si="6"/>
        <v>2368.0786031991702</v>
      </c>
      <c r="W19" s="457">
        <f t="shared" ca="1" si="6"/>
        <v>1682.9090481460955</v>
      </c>
      <c r="X19" s="458">
        <f t="shared" ca="1" si="6"/>
        <v>1082.0054708792436</v>
      </c>
      <c r="Y19" s="453">
        <v>3</v>
      </c>
    </row>
    <row r="20" spans="1:28" x14ac:dyDescent="0.25">
      <c r="A20" s="351">
        <v>34</v>
      </c>
      <c r="B20" s="372" t="s">
        <v>431</v>
      </c>
      <c r="C20" s="483" t="s">
        <v>178</v>
      </c>
      <c r="D20" s="475">
        <f t="shared" ref="D20:I30" ca="1" si="16">VLOOKUP(D$2,INDIRECT("'"&amp;$B20&amp;"'!$B$5:$C$74"),2,FALSE)</f>
        <v>4.92</v>
      </c>
      <c r="E20" s="435">
        <f t="shared" ca="1" si="16"/>
        <v>4.92</v>
      </c>
      <c r="F20" s="435">
        <f t="shared" ca="1" si="16"/>
        <v>5.507767110089457</v>
      </c>
      <c r="G20" s="435">
        <f t="shared" ca="1" si="16"/>
        <v>4.92</v>
      </c>
      <c r="H20" s="436">
        <f t="shared" ca="1" si="16"/>
        <v>1349.9676492698011</v>
      </c>
      <c r="I20" s="503">
        <f t="shared" ca="1" si="16"/>
        <v>8579.6076642901699</v>
      </c>
      <c r="J20" s="507">
        <f t="shared" ca="1" si="7"/>
        <v>3</v>
      </c>
      <c r="K20" s="506">
        <f t="shared" ca="1" si="11"/>
        <v>8579.6076642901699</v>
      </c>
      <c r="L20" s="437">
        <f t="shared" ca="1" si="12"/>
        <v>-8579.6076642901699</v>
      </c>
      <c r="M20" s="438">
        <f t="shared" ca="1" si="13"/>
        <v>-0.44881843240913233</v>
      </c>
      <c r="N20" s="438">
        <f t="shared" ca="1" si="14"/>
        <v>-1.3754965268561776</v>
      </c>
      <c r="O20" s="451">
        <f t="shared" ca="1" si="15"/>
        <v>-0.81948967018795049</v>
      </c>
      <c r="P20" s="452" t="str">
        <f t="shared" ca="1" si="8"/>
        <v>Keskmine</v>
      </c>
      <c r="Q20" s="452" t="str">
        <f t="shared" ca="1" si="9"/>
        <v>Väga Nõrk</v>
      </c>
      <c r="R20" s="452" t="str">
        <f t="shared" ca="1" si="10"/>
        <v>Väga Nõrk</v>
      </c>
      <c r="S20" s="410"/>
      <c r="T20" s="456">
        <f t="shared" ref="T20:X30" ca="1" si="17">VLOOKUP(T$2,INDIRECT("'"&amp;$B20&amp;"'!$e$5:$f$74"),2,FALSE)</f>
        <v>0</v>
      </c>
      <c r="U20" s="457">
        <f t="shared" ca="1" si="17"/>
        <v>300</v>
      </c>
      <c r="V20" s="457">
        <f t="shared" ca="1" si="17"/>
        <v>1071.5287797281312</v>
      </c>
      <c r="W20" s="457">
        <f t="shared" ca="1" si="17"/>
        <v>761.49730685343684</v>
      </c>
      <c r="X20" s="458">
        <f t="shared" ca="1" si="17"/>
        <v>489.59523569196551</v>
      </c>
      <c r="Y20" s="453">
        <v>9</v>
      </c>
    </row>
    <row r="21" spans="1:28" x14ac:dyDescent="0.25">
      <c r="A21" s="351">
        <v>43</v>
      </c>
      <c r="B21" s="372" t="s">
        <v>432</v>
      </c>
      <c r="C21" s="483" t="s">
        <v>212</v>
      </c>
      <c r="D21" s="475">
        <f t="shared" ca="1" si="16"/>
        <v>1.6</v>
      </c>
      <c r="E21" s="435">
        <f t="shared" ca="1" si="16"/>
        <v>1.6</v>
      </c>
      <c r="F21" s="435">
        <f t="shared" ca="1" si="16"/>
        <v>-7.7933315528159133</v>
      </c>
      <c r="G21" s="435">
        <f t="shared" ca="1" si="16"/>
        <v>1.6</v>
      </c>
      <c r="H21" s="436">
        <f t="shared" ca="1" si="16"/>
        <v>11922.91427835088</v>
      </c>
      <c r="I21" s="503">
        <f t="shared" ca="1" si="16"/>
        <v>-2329.8229738313535</v>
      </c>
      <c r="J21" s="507">
        <f t="shared" ca="1" si="7"/>
        <v>3</v>
      </c>
      <c r="K21" s="506">
        <f t="shared" ca="1" si="11"/>
        <v>-2329.8229738313535</v>
      </c>
      <c r="L21" s="437">
        <f t="shared" ca="1" si="12"/>
        <v>2329.8229738313535</v>
      </c>
      <c r="M21" s="438">
        <f t="shared" ca="1" si="13"/>
        <v>-0.24871410137385624</v>
      </c>
      <c r="N21" s="438">
        <f t="shared" ca="1" si="14"/>
        <v>0.55007398191798829</v>
      </c>
      <c r="O21" s="451">
        <f t="shared" ca="1" si="15"/>
        <v>7.0801131942881596E-2</v>
      </c>
      <c r="P21" s="452" t="str">
        <f t="shared" ca="1" si="8"/>
        <v>Keskmine</v>
      </c>
      <c r="Q21" s="452" t="str">
        <f t="shared" ca="1" si="9"/>
        <v>Kõrge</v>
      </c>
      <c r="R21" s="452" t="str">
        <f t="shared" ca="1" si="10"/>
        <v>Keskmine</v>
      </c>
      <c r="S21" s="410"/>
      <c r="T21" s="456">
        <f t="shared" ca="1" si="17"/>
        <v>0</v>
      </c>
      <c r="U21" s="457">
        <f t="shared" ca="1" si="17"/>
        <v>300</v>
      </c>
      <c r="V21" s="457">
        <f t="shared" ca="1" si="17"/>
        <v>9463.7421825588517</v>
      </c>
      <c r="W21" s="457">
        <f t="shared" ca="1" si="17"/>
        <v>6725.5442141295534</v>
      </c>
      <c r="X21" s="458">
        <f t="shared" ca="1" si="17"/>
        <v>4324.1051216314381</v>
      </c>
      <c r="Y21" s="453">
        <v>4</v>
      </c>
    </row>
    <row r="22" spans="1:28" x14ac:dyDescent="0.25">
      <c r="A22" s="351">
        <v>47</v>
      </c>
      <c r="B22" s="372" t="s">
        <v>229</v>
      </c>
      <c r="C22" s="483" t="s">
        <v>433</v>
      </c>
      <c r="D22" s="475">
        <f t="shared" ca="1" si="16"/>
        <v>0</v>
      </c>
      <c r="E22" s="435">
        <f t="shared" ca="1" si="16"/>
        <v>0</v>
      </c>
      <c r="F22" s="435">
        <f t="shared" ca="1" si="16"/>
        <v>0</v>
      </c>
      <c r="G22" s="435">
        <f t="shared" ca="1" si="16"/>
        <v>0</v>
      </c>
      <c r="H22" s="436">
        <f t="shared" ca="1" si="16"/>
        <v>1807.4712368117139</v>
      </c>
      <c r="I22" s="503">
        <f t="shared" ca="1" si="16"/>
        <v>0</v>
      </c>
      <c r="J22" s="507">
        <f t="shared" ca="1" si="7"/>
        <v>4</v>
      </c>
      <c r="K22" s="506">
        <f t="shared" ca="1" si="11"/>
        <v>0</v>
      </c>
      <c r="L22" s="437">
        <f t="shared" ca="1" si="12"/>
        <v>0</v>
      </c>
      <c r="M22" s="438">
        <f t="shared" ca="1" si="13"/>
        <v>-0.44015968735508015</v>
      </c>
      <c r="N22" s="438">
        <f t="shared" ca="1" si="14"/>
        <v>0.13884826740657927</v>
      </c>
      <c r="O22" s="451">
        <f t="shared" ca="1" si="15"/>
        <v>-0.20855650545041637</v>
      </c>
      <c r="P22" s="452" t="str">
        <f t="shared" ca="1" si="8"/>
        <v>Keskmine</v>
      </c>
      <c r="Q22" s="452" t="str">
        <f t="shared" ca="1" si="9"/>
        <v>Keskmine</v>
      </c>
      <c r="R22" s="452" t="str">
        <f t="shared" ca="1" si="10"/>
        <v>Nõrk</v>
      </c>
      <c r="S22" s="410"/>
      <c r="T22" s="456">
        <f t="shared" ca="1" si="17"/>
        <v>107.01738148558297</v>
      </c>
      <c r="U22" s="457">
        <f t="shared" ca="1" si="17"/>
        <v>234.87869421260257</v>
      </c>
      <c r="V22" s="457">
        <f t="shared" ca="1" si="17"/>
        <v>553.09258270733653</v>
      </c>
      <c r="W22" s="457">
        <f t="shared" ca="1" si="17"/>
        <v>1594.0055839869717</v>
      </c>
      <c r="X22" s="458">
        <f t="shared" ca="1" si="17"/>
        <v>1648.9896791101094</v>
      </c>
      <c r="Y22" s="453">
        <v>1</v>
      </c>
    </row>
    <row r="23" spans="1:28" x14ac:dyDescent="0.25">
      <c r="A23" s="351">
        <v>48</v>
      </c>
      <c r="B23" s="372" t="s">
        <v>434</v>
      </c>
      <c r="C23" s="483" t="s">
        <v>435</v>
      </c>
      <c r="D23" s="475">
        <f ca="1">VLOOKUP(D$2,INDIRECT("'"&amp;$B23&amp;"'!$B$5:$C$74"),2,FALSE)</f>
        <v>0</v>
      </c>
      <c r="E23" s="435">
        <f t="shared" ca="1" si="16"/>
        <v>0</v>
      </c>
      <c r="F23" s="435">
        <f t="shared" ca="1" si="16"/>
        <v>-2.8929567182921208</v>
      </c>
      <c r="G23" s="435">
        <f t="shared" ca="1" si="16"/>
        <v>-8.4</v>
      </c>
      <c r="H23" s="436">
        <f t="shared" ca="1" si="16"/>
        <v>19417.077355164049</v>
      </c>
      <c r="I23" s="503">
        <f t="shared" ca="1" si="16"/>
        <v>-280.28681039809067</v>
      </c>
      <c r="J23" s="507">
        <f t="shared" ca="1" si="7"/>
        <v>4</v>
      </c>
      <c r="K23" s="506">
        <f t="shared" ca="1" si="11"/>
        <v>-280.28681039809067</v>
      </c>
      <c r="L23" s="437">
        <f t="shared" ca="1" si="12"/>
        <v>280.28681039809067</v>
      </c>
      <c r="M23" s="438">
        <f t="shared" ca="1" si="13"/>
        <v>-0.10687904424510378</v>
      </c>
      <c r="N23" s="438">
        <f t="shared" ca="1" si="14"/>
        <v>0.18832032823209927</v>
      </c>
      <c r="O23" s="451">
        <f t="shared" ca="1" si="15"/>
        <v>1.1200704745777459E-2</v>
      </c>
      <c r="P23" s="452" t="str">
        <f t="shared" ca="1" si="8"/>
        <v>Kõrge</v>
      </c>
      <c r="Q23" s="452" t="str">
        <f t="shared" ca="1" si="9"/>
        <v>Keskmine</v>
      </c>
      <c r="R23" s="452" t="str">
        <f t="shared" ca="1" si="10"/>
        <v>Keskmine</v>
      </c>
      <c r="S23" s="410"/>
      <c r="T23" s="456">
        <f t="shared" ca="1" si="17"/>
        <v>19417.077355164049</v>
      </c>
      <c r="U23" s="457">
        <f t="shared" ca="1" si="17"/>
        <v>11801.032175017304</v>
      </c>
      <c r="V23" s="457">
        <f t="shared" ca="1" si="17"/>
        <v>8229.3410283120465</v>
      </c>
      <c r="W23" s="457">
        <f t="shared" ca="1" si="17"/>
        <v>5848.299316634394</v>
      </c>
      <c r="X23" s="458">
        <f t="shared" ca="1" si="17"/>
        <v>3760.0914101142944</v>
      </c>
      <c r="Y23" s="453">
        <v>3</v>
      </c>
    </row>
    <row r="24" spans="1:28" x14ac:dyDescent="0.25">
      <c r="A24" s="351">
        <v>50</v>
      </c>
      <c r="B24" s="372" t="s">
        <v>436</v>
      </c>
      <c r="C24" s="483" t="s">
        <v>245</v>
      </c>
      <c r="D24" s="475">
        <f t="shared" ca="1" si="16"/>
        <v>0</v>
      </c>
      <c r="E24" s="435">
        <f t="shared" ca="1" si="16"/>
        <v>0</v>
      </c>
      <c r="F24" s="435">
        <f t="shared" ca="1" si="16"/>
        <v>-5.3412202138594944</v>
      </c>
      <c r="G24" s="435">
        <f t="shared" ca="1" si="16"/>
        <v>1.3632</v>
      </c>
      <c r="H24" s="436">
        <f t="shared" ca="1" si="16"/>
        <v>3110.3254639176216</v>
      </c>
      <c r="I24" s="503">
        <f t="shared" ca="1" si="16"/>
        <v>-6001.5954640422879</v>
      </c>
      <c r="J24" s="507">
        <f t="shared" ca="1" si="7"/>
        <v>3</v>
      </c>
      <c r="K24" s="506">
        <f t="shared" ca="1" si="11"/>
        <v>-5452.5572655951155</v>
      </c>
      <c r="L24" s="437">
        <f t="shared" ca="1" si="12"/>
        <v>5452.5572655951155</v>
      </c>
      <c r="M24" s="438">
        <f t="shared" ca="1" si="13"/>
        <v>-0.41550177668007204</v>
      </c>
      <c r="N24" s="438">
        <f t="shared" ca="1" si="14"/>
        <v>1.1012526142790864</v>
      </c>
      <c r="O24" s="451">
        <f t="shared" ca="1" si="15"/>
        <v>0.19119997970359134</v>
      </c>
      <c r="P24" s="452" t="str">
        <f t="shared" ca="1" si="8"/>
        <v>Keskmine</v>
      </c>
      <c r="Q24" s="452" t="str">
        <f t="shared" ca="1" si="9"/>
        <v>Väga Kõrge</v>
      </c>
      <c r="R24" s="452" t="str">
        <f t="shared" ca="1" si="10"/>
        <v>Kõrge</v>
      </c>
      <c r="S24" s="410"/>
      <c r="T24" s="456">
        <f t="shared" ca="1" si="17"/>
        <v>0</v>
      </c>
      <c r="U24" s="457">
        <f t="shared" ca="1" si="17"/>
        <v>0.01</v>
      </c>
      <c r="V24" s="457">
        <f t="shared" ca="1" si="17"/>
        <v>2468.8023084936135</v>
      </c>
      <c r="W24" s="457">
        <f t="shared" ca="1" si="17"/>
        <v>0.01</v>
      </c>
      <c r="X24" s="458">
        <f t="shared" ca="1" si="17"/>
        <v>1692.0411345514326</v>
      </c>
      <c r="Y24" s="453">
        <v>6</v>
      </c>
    </row>
    <row r="25" spans="1:28" x14ac:dyDescent="0.25">
      <c r="A25" s="351">
        <v>57</v>
      </c>
      <c r="B25" s="372" t="s">
        <v>272</v>
      </c>
      <c r="C25" s="483" t="s">
        <v>437</v>
      </c>
      <c r="D25" s="475" t="str">
        <f t="shared" ca="1" si="16"/>
        <v>1,5</v>
      </c>
      <c r="E25" s="435" t="str">
        <f t="shared" ca="1" si="16"/>
        <v>1,5</v>
      </c>
      <c r="F25" s="435">
        <f t="shared" ca="1" si="16"/>
        <v>-4.0431516152234413E-2</v>
      </c>
      <c r="G25" s="435">
        <f t="shared" ca="1" si="16"/>
        <v>-4.0431516152234413E-2</v>
      </c>
      <c r="H25" s="436">
        <f t="shared" ca="1" si="16"/>
        <v>497.70182720170118</v>
      </c>
      <c r="I25" s="503">
        <f t="shared" ca="1" si="16"/>
        <v>-169.24254787398766</v>
      </c>
      <c r="J25" s="507">
        <f t="shared" ca="1" si="7"/>
        <v>5</v>
      </c>
      <c r="K25" s="506">
        <f t="shared" ca="1" si="11"/>
        <v>-169.24254787398766</v>
      </c>
      <c r="L25" s="437">
        <f t="shared" ca="1" si="12"/>
        <v>169.24254787398766</v>
      </c>
      <c r="M25" s="438">
        <f t="shared" ca="1" si="13"/>
        <v>-0.46494847526020355</v>
      </c>
      <c r="N25" s="438">
        <f t="shared" ca="1" si="14"/>
        <v>0.16872044587547</v>
      </c>
      <c r="O25" s="451">
        <f t="shared" ca="1" si="15"/>
        <v>-0.21148090680593412</v>
      </c>
      <c r="P25" s="452" t="str">
        <f t="shared" ca="1" si="8"/>
        <v>Nõrk</v>
      </c>
      <c r="Q25" s="452" t="str">
        <f t="shared" ca="1" si="9"/>
        <v>Keskmine</v>
      </c>
      <c r="R25" s="452" t="str">
        <f t="shared" ca="1" si="10"/>
        <v>Nõrk</v>
      </c>
      <c r="S25" s="410"/>
      <c r="T25" s="456">
        <f t="shared" ca="1" si="17"/>
        <v>82.950304533616858</v>
      </c>
      <c r="U25" s="457">
        <f t="shared" ca="1" si="17"/>
        <v>497.70182720170118</v>
      </c>
      <c r="V25" s="457">
        <f t="shared" ca="1" si="17"/>
        <v>497.70182720170118</v>
      </c>
      <c r="W25" s="457">
        <f t="shared" ca="1" si="17"/>
        <v>165.90060906723375</v>
      </c>
      <c r="X25" s="458">
        <f t="shared" ca="1" si="17"/>
        <v>0</v>
      </c>
      <c r="Y25" s="453">
        <v>1</v>
      </c>
    </row>
    <row r="26" spans="1:28" x14ac:dyDescent="0.25">
      <c r="A26" s="351">
        <v>58</v>
      </c>
      <c r="B26" s="378" t="s">
        <v>276</v>
      </c>
      <c r="C26" s="484" t="s">
        <v>438</v>
      </c>
      <c r="D26" s="476">
        <f t="shared" ca="1" si="16"/>
        <v>3.22</v>
      </c>
      <c r="E26" s="448">
        <f t="shared" ca="1" si="16"/>
        <v>1.61</v>
      </c>
      <c r="F26" s="448">
        <f t="shared" ca="1" si="16"/>
        <v>-0.56304034606676978</v>
      </c>
      <c r="G26" s="448">
        <f t="shared" ca="1" si="16"/>
        <v>-2.1730403460667698</v>
      </c>
      <c r="H26" s="449">
        <f t="shared" ca="1" si="16"/>
        <v>38588.588921227863</v>
      </c>
      <c r="I26" s="504">
        <f t="shared" ca="1" si="16"/>
        <v>-119.32204173454753</v>
      </c>
      <c r="J26" s="507">
        <f t="shared" ca="1" si="7"/>
        <v>4</v>
      </c>
      <c r="K26" s="506">
        <f t="shared" ca="1" si="11"/>
        <v>-119.32204173454753</v>
      </c>
      <c r="L26" s="437">
        <f t="shared" ca="1" si="12"/>
        <v>119.32204173454753</v>
      </c>
      <c r="M26" s="438">
        <f t="shared" ca="1" si="13"/>
        <v>0.25596233114881334</v>
      </c>
      <c r="N26" s="438">
        <f t="shared" ca="1" si="14"/>
        <v>0.15990922028599805</v>
      </c>
      <c r="O26" s="451">
        <f t="shared" ca="1" si="15"/>
        <v>0.21754108680368722</v>
      </c>
      <c r="P26" s="452" t="str">
        <f t="shared" ca="1" si="8"/>
        <v>Kõrge</v>
      </c>
      <c r="Q26" s="452" t="str">
        <f t="shared" ca="1" si="9"/>
        <v>Keskmine</v>
      </c>
      <c r="R26" s="452" t="str">
        <f t="shared" ca="1" si="10"/>
        <v>Kõrge</v>
      </c>
      <c r="S26" s="410"/>
      <c r="T26" s="459">
        <f t="shared" ca="1" si="17"/>
        <v>4382.845544454527</v>
      </c>
      <c r="U26" s="460">
        <f t="shared" ca="1" si="17"/>
        <v>17891.985002569174</v>
      </c>
      <c r="V26" s="460">
        <f t="shared" ca="1" si="17"/>
        <v>35819.117970405852</v>
      </c>
      <c r="W26" s="460">
        <f t="shared" ca="1" si="17"/>
        <v>37216.003309395972</v>
      </c>
      <c r="X26" s="461">
        <f t="shared" ca="1" si="17"/>
        <v>35035.994912355243</v>
      </c>
      <c r="Y26" s="454">
        <v>1</v>
      </c>
    </row>
    <row r="27" spans="1:28" x14ac:dyDescent="0.25">
      <c r="C27" s="39" t="s">
        <v>439</v>
      </c>
      <c r="D27" s="474"/>
      <c r="E27" s="433"/>
      <c r="F27" s="433"/>
      <c r="G27" s="433"/>
      <c r="H27" s="433"/>
      <c r="I27" s="502"/>
      <c r="K27" s="506"/>
      <c r="L27" s="437"/>
      <c r="M27" s="438"/>
      <c r="N27" s="438"/>
      <c r="O27" s="451"/>
      <c r="P27" s="452"/>
      <c r="Q27" s="452"/>
      <c r="R27" s="452" t="str">
        <f t="shared" si="10"/>
        <v/>
      </c>
      <c r="S27" s="410"/>
      <c r="T27" s="958"/>
      <c r="U27" s="959"/>
      <c r="V27" s="959"/>
      <c r="W27" s="959"/>
      <c r="X27" s="960"/>
    </row>
    <row r="28" spans="1:28" x14ac:dyDescent="0.25">
      <c r="A28" s="351">
        <v>60</v>
      </c>
      <c r="B28" s="377" t="s">
        <v>440</v>
      </c>
      <c r="C28" s="485" t="s">
        <v>441</v>
      </c>
      <c r="D28" s="477">
        <f t="shared" ca="1" si="16"/>
        <v>0</v>
      </c>
      <c r="E28" s="440">
        <f t="shared" ca="1" si="16"/>
        <v>0</v>
      </c>
      <c r="F28" s="440">
        <f t="shared" ca="1" si="16"/>
        <v>0.2228</v>
      </c>
      <c r="G28" s="440">
        <f t="shared" ca="1" si="16"/>
        <v>0.2228</v>
      </c>
      <c r="H28" s="441">
        <f t="shared" ca="1" si="16"/>
        <v>623.15999999999974</v>
      </c>
      <c r="I28" s="505">
        <f t="shared" ca="1" si="16"/>
        <v>399.67664805186479</v>
      </c>
      <c r="J28" s="507">
        <f t="shared" ca="1" si="7"/>
        <v>4</v>
      </c>
      <c r="K28" s="506">
        <f ca="1">IF($I28="","",MIN(MAX($I28,$S$35),$S$36))</f>
        <v>399.67664805186479</v>
      </c>
      <c r="L28" s="437">
        <f ca="1">IF($K28="","",- $K28)</f>
        <v>-399.67664805186479</v>
      </c>
      <c r="M28" s="438">
        <f ca="1">IF($H28="","",($H28-AVERAGE($H$4:$H$30))/_xlfn.STDEV.P($H$4:$H$30))</f>
        <v>-0.46257404506383232</v>
      </c>
      <c r="N28" s="438">
        <f ca="1">IF($L28="","",($L28-AVERAGE($L$4:$L$30))/_xlfn.STDEV.P($L$4:$L$30))</f>
        <v>6.8303287373881652E-2</v>
      </c>
      <c r="O28" s="451">
        <f ca="1">IF(OR($M28="",$N28=""),"",$S$37*$M28+$S$38*$N28)</f>
        <v>-0.25022311208874676</v>
      </c>
      <c r="P28" s="452" t="str">
        <f t="shared" ca="1" si="8"/>
        <v>Nõrk</v>
      </c>
      <c r="Q28" s="452" t="str">
        <f t="shared" ca="1" si="9"/>
        <v>Nõrk</v>
      </c>
      <c r="R28" s="452" t="str">
        <f t="shared" ca="1" si="10"/>
        <v>Nõrk</v>
      </c>
      <c r="S28" s="411"/>
      <c r="T28" s="462">
        <f t="shared" ca="1" si="17"/>
        <v>81.281739130434772</v>
      </c>
      <c r="U28" s="463">
        <f t="shared" ca="1" si="17"/>
        <v>216.75130434782611</v>
      </c>
      <c r="V28" s="463">
        <f t="shared" ca="1" si="17"/>
        <v>352.22086956521741</v>
      </c>
      <c r="W28" s="463">
        <f t="shared" ca="1" si="17"/>
        <v>487.69043478260869</v>
      </c>
      <c r="X28" s="464">
        <f t="shared" ca="1" si="17"/>
        <v>623.15999999999974</v>
      </c>
      <c r="Y28" s="455">
        <v>5</v>
      </c>
    </row>
    <row r="29" spans="1:28" x14ac:dyDescent="0.25">
      <c r="A29" s="351">
        <v>65</v>
      </c>
      <c r="B29" s="373" t="s">
        <v>442</v>
      </c>
      <c r="C29" s="486" t="s">
        <v>443</v>
      </c>
      <c r="D29" s="475">
        <f t="shared" ca="1" si="16"/>
        <v>0</v>
      </c>
      <c r="E29" s="435">
        <f t="shared" ca="1" si="16"/>
        <v>0</v>
      </c>
      <c r="F29" s="435">
        <f t="shared" ca="1" si="16"/>
        <v>-4.1790701595145707</v>
      </c>
      <c r="G29" s="435">
        <f t="shared" ca="1" si="16"/>
        <v>-6.073081641824055E-3</v>
      </c>
      <c r="H29" s="436">
        <f t="shared" ca="1" si="16"/>
        <v>5666.5528205750597</v>
      </c>
      <c r="I29" s="503">
        <f t="shared" ca="1" si="16"/>
        <v>-1941.0000813751335</v>
      </c>
      <c r="J29" s="507">
        <f t="shared" ca="1" si="7"/>
        <v>2</v>
      </c>
      <c r="K29" s="506">
        <f ca="1">IF($I29="","",MIN(MAX($I29,$S$35),$S$36))</f>
        <v>-1941.0000813751335</v>
      </c>
      <c r="L29" s="437">
        <f ca="1">IF($K29="","",- $K29)</f>
        <v>1941.0000813751335</v>
      </c>
      <c r="M29" s="438">
        <f ca="1">IF($H29="","",($H29-AVERAGE($H$4:$H$30))/_xlfn.STDEV.P($H$4:$H$30))</f>
        <v>-0.36712243806021322</v>
      </c>
      <c r="N29" s="438">
        <f ca="1">IF($L29="","",($L29-AVERAGE($L$4:$L$30))/_xlfn.STDEV.P($L$4:$L$30))</f>
        <v>0.48144474546327215</v>
      </c>
      <c r="O29" s="451">
        <f ca="1">IF(OR($M29="",$N29=""),"",$S$37*$M29+$S$38*$N29)</f>
        <v>-2.7695564650819043E-2</v>
      </c>
      <c r="P29" s="452" t="str">
        <f t="shared" ca="1" si="8"/>
        <v>Keskmine</v>
      </c>
      <c r="Q29" s="452" t="str">
        <f t="shared" ca="1" si="9"/>
        <v>Kõrge</v>
      </c>
      <c r="R29" s="452" t="str">
        <f t="shared" ca="1" si="10"/>
        <v>Keskmine</v>
      </c>
      <c r="S29" s="411"/>
      <c r="T29" s="456">
        <f t="shared" ca="1" si="17"/>
        <v>3808.9811728600712</v>
      </c>
      <c r="U29" s="457">
        <f t="shared" ca="1" si="17"/>
        <v>5666.5528205750597</v>
      </c>
      <c r="V29" s="457">
        <f t="shared" ca="1" si="17"/>
        <v>4702.4146476161877</v>
      </c>
      <c r="W29" s="457">
        <f t="shared" ca="1" si="17"/>
        <v>4451.0978419107196</v>
      </c>
      <c r="X29" s="458">
        <f t="shared" ca="1" si="17"/>
        <v>3314.6420872487843</v>
      </c>
      <c r="Y29" s="453">
        <v>2</v>
      </c>
    </row>
    <row r="30" spans="1:28" x14ac:dyDescent="0.25">
      <c r="A30" s="351">
        <v>74</v>
      </c>
      <c r="B30" s="487" t="s">
        <v>322</v>
      </c>
      <c r="C30" s="488" t="s">
        <v>444</v>
      </c>
      <c r="D30" s="476">
        <f t="shared" ca="1" si="16"/>
        <v>0</v>
      </c>
      <c r="E30" s="448">
        <f t="shared" ca="1" si="16"/>
        <v>0</v>
      </c>
      <c r="F30" s="448">
        <f t="shared" ca="1" si="16"/>
        <v>-1.0545289635159065</v>
      </c>
      <c r="G30" s="448">
        <f t="shared" ca="1" si="16"/>
        <v>0</v>
      </c>
      <c r="H30" s="449">
        <f t="shared" ca="1" si="16"/>
        <v>9070.0499999999993</v>
      </c>
      <c r="I30" s="504">
        <f t="shared" ca="1" si="16"/>
        <v>-202.09196000010144</v>
      </c>
      <c r="J30" s="507">
        <f t="shared" ca="1" si="7"/>
        <v>4</v>
      </c>
      <c r="K30" s="506">
        <f ca="1">IF($I30="","",MIN(MAX($I30,$S$35),$S$36))</f>
        <v>-202.09196000010144</v>
      </c>
      <c r="L30" s="437">
        <f ca="1">IF($K30="","",- $K30)</f>
        <v>202.09196000010144</v>
      </c>
      <c r="M30" s="438">
        <f ca="1">IF($H30="","",($H30-AVERAGE($H$4:$H$30))/_xlfn.STDEV.P($H$4:$H$30))</f>
        <v>-0.30270761122319656</v>
      </c>
      <c r="N30" s="438">
        <f ca="1">IF($L30="","",($L30-AVERAGE($L$4:$L$30))/_xlfn.STDEV.P($L$4:$L$30))</f>
        <v>0.17451853574091</v>
      </c>
      <c r="O30" s="451">
        <f ca="1">IF(OR($M30="",$N30=""),"",$S$37*$M30+$S$38*$N30)</f>
        <v>-0.11181715243755394</v>
      </c>
      <c r="P30" s="452" t="str">
        <f t="shared" ca="1" si="8"/>
        <v>Keskmine</v>
      </c>
      <c r="Q30" s="452" t="str">
        <f t="shared" ca="1" si="9"/>
        <v>Keskmine</v>
      </c>
      <c r="R30" s="452" t="str">
        <f t="shared" ca="1" si="10"/>
        <v>Keskmine</v>
      </c>
      <c r="S30" s="411"/>
      <c r="T30" s="459">
        <f t="shared" ca="1" si="17"/>
        <v>2473.6499999999996</v>
      </c>
      <c r="U30" s="460">
        <f t="shared" ca="1" si="17"/>
        <v>6596.4000000000005</v>
      </c>
      <c r="V30" s="460">
        <f t="shared" ca="1" si="17"/>
        <v>9070.0499999999993</v>
      </c>
      <c r="W30" s="460">
        <f t="shared" ca="1" si="17"/>
        <v>9070.0499999999993</v>
      </c>
      <c r="X30" s="461">
        <f t="shared" ca="1" si="17"/>
        <v>9070.0499999999993</v>
      </c>
      <c r="Y30" s="454">
        <v>1</v>
      </c>
    </row>
    <row r="31" spans="1:28" x14ac:dyDescent="0.25">
      <c r="C31" s="367" t="s">
        <v>445</v>
      </c>
      <c r="D31" s="332">
        <f t="shared" ref="D31:G31" ca="1" si="18">SUM(D4:D30)</f>
        <v>477.41118872005245</v>
      </c>
      <c r="E31" s="332">
        <f t="shared" ca="1" si="18"/>
        <v>98.796512055408954</v>
      </c>
      <c r="F31" s="332">
        <f t="shared" ca="1" si="18"/>
        <v>409.71394665302603</v>
      </c>
      <c r="G31" s="332">
        <f t="shared" ca="1" si="18"/>
        <v>96.895053649996129</v>
      </c>
      <c r="H31" s="332">
        <f ca="1">SUM(H4:H30)</f>
        <v>626606.59060170688</v>
      </c>
      <c r="T31" s="465">
        <f ca="1">SUM(T4:T30)</f>
        <v>301583.25950610335</v>
      </c>
      <c r="U31" s="466">
        <f t="shared" ref="U31:X31" ca="1" si="19">SUM(U4:U30)</f>
        <v>393442.58078614122</v>
      </c>
      <c r="V31" s="466">
        <f t="shared" ca="1" si="19"/>
        <v>493841.86326190148</v>
      </c>
      <c r="W31" s="466">
        <f t="shared" ca="1" si="19"/>
        <v>533993.42006547609</v>
      </c>
      <c r="X31" s="467">
        <f t="shared" ca="1" si="19"/>
        <v>569751.9261240554</v>
      </c>
      <c r="Y31" s="388">
        <f>SUM(Y4:Y30)</f>
        <v>63</v>
      </c>
      <c r="AA31" s="406"/>
      <c r="AB31" s="219"/>
    </row>
    <row r="32" spans="1:28" x14ac:dyDescent="0.25">
      <c r="H32" s="405" t="s">
        <v>446</v>
      </c>
      <c r="I32" s="409">
        <f ca="1">SUMPRODUCT(H4:H30,I4:I30)/1000000</f>
        <v>450.29011378775243</v>
      </c>
      <c r="S32" s="291" t="s">
        <v>447</v>
      </c>
      <c r="T32" s="468">
        <f ca="1">SUM(T4:T13)</f>
        <v>254659.70330538877</v>
      </c>
      <c r="U32" s="469">
        <f t="shared" ref="U32:X32" ca="1" si="20">SUM(U4:U13)</f>
        <v>315587.73747036961</v>
      </c>
      <c r="V32" s="469">
        <f t="shared" ca="1" si="20"/>
        <v>371026.18972607463</v>
      </c>
      <c r="W32" s="469">
        <f t="shared" ca="1" si="20"/>
        <v>421975.8472724451</v>
      </c>
      <c r="X32" s="470">
        <f t="shared" ca="1" si="20"/>
        <v>467960.24559870514</v>
      </c>
    </row>
    <row r="33" spans="3:26" x14ac:dyDescent="0.25">
      <c r="S33" s="291" t="s">
        <v>448</v>
      </c>
      <c r="T33" s="471">
        <f ca="1">SUM(T15:T26)</f>
        <v>40559.643288724044</v>
      </c>
      <c r="U33" s="472">
        <f t="shared" ref="U33:X33" ca="1" si="21">SUM(U15:U26)</f>
        <v>65375.139190848757</v>
      </c>
      <c r="V33" s="472">
        <f t="shared" ca="1" si="21"/>
        <v>108690.9880186455</v>
      </c>
      <c r="W33" s="472">
        <f t="shared" ca="1" si="21"/>
        <v>98008.734516337645</v>
      </c>
      <c r="X33" s="473">
        <f t="shared" ca="1" si="21"/>
        <v>88783.828438101395</v>
      </c>
    </row>
    <row r="34" spans="3:26" ht="46.9" customHeight="1" x14ac:dyDescent="0.6">
      <c r="C34" s="1013"/>
      <c r="D34" s="1014" t="s">
        <v>449</v>
      </c>
      <c r="E34" s="1015" t="s">
        <v>450</v>
      </c>
      <c r="F34" s="1015" t="s">
        <v>451</v>
      </c>
      <c r="G34" s="414" t="s">
        <v>452</v>
      </c>
      <c r="H34" s="1016"/>
      <c r="I34" s="1017" t="s">
        <v>453</v>
      </c>
      <c r="J34" s="412"/>
      <c r="R34" s="489" t="s">
        <v>454</v>
      </c>
      <c r="S34" s="414" t="s">
        <v>455</v>
      </c>
      <c r="Z34" s="387"/>
    </row>
    <row r="35" spans="3:26" x14ac:dyDescent="0.25">
      <c r="C35" s="995" t="s">
        <v>456</v>
      </c>
      <c r="D35" s="996">
        <f>SISENDID!D6</f>
        <v>1565393</v>
      </c>
      <c r="E35" s="996">
        <f t="shared" ref="E35:E42" si="22">D35-I35</f>
        <v>482486.70900000003</v>
      </c>
      <c r="F35" s="996">
        <f ca="1">F36+F37</f>
        <v>467960.24559870514</v>
      </c>
      <c r="G35" s="997">
        <f ca="1">E35-F35</f>
        <v>14526.463401294895</v>
      </c>
      <c r="H35" s="994"/>
      <c r="I35" s="998">
        <f>SISENDID!G6</f>
        <v>1082906.291</v>
      </c>
      <c r="R35" s="490" t="s">
        <v>457</v>
      </c>
      <c r="S35" s="491">
        <f ca="1">_xlfn.PERCENTILE.INC($I$4:$I$30,0.05)</f>
        <v>-5452.5572655951155</v>
      </c>
      <c r="Y35"/>
      <c r="Z35" s="387"/>
    </row>
    <row r="36" spans="3:26" x14ac:dyDescent="0.25">
      <c r="C36" s="999" t="s">
        <v>458</v>
      </c>
      <c r="D36" s="1000">
        <f>SISENDID!D7</f>
        <v>20459</v>
      </c>
      <c r="E36" s="1000">
        <f t="shared" si="22"/>
        <v>18919.708999999999</v>
      </c>
      <c r="F36" s="1000">
        <f>E36</f>
        <v>18919.708999999999</v>
      </c>
      <c r="G36" s="1001">
        <f t="shared" ref="G36:G44" si="23">E36-F36</f>
        <v>0</v>
      </c>
      <c r="H36" s="994"/>
      <c r="I36" s="1002">
        <f>SISENDID!G7</f>
        <v>1539.2909999999999</v>
      </c>
      <c r="R36" s="494" t="s">
        <v>459</v>
      </c>
      <c r="S36" s="495">
        <f ca="1">_xlfn.PERCENTILE.INC($I$4:$I$30,0.95)</f>
        <v>17467.353123157049</v>
      </c>
      <c r="Y36"/>
      <c r="Z36" s="387"/>
    </row>
    <row r="37" spans="3:26" x14ac:dyDescent="0.25">
      <c r="C37" s="999" t="s">
        <v>460</v>
      </c>
      <c r="D37" s="1000">
        <f>SISENDID!D8+SISENDID!D9</f>
        <v>1544935</v>
      </c>
      <c r="E37" s="1000">
        <f t="shared" si="22"/>
        <v>463568</v>
      </c>
      <c r="F37" s="1000">
        <f ca="1">SUM(X8:X13)-(F36-SUM(X4:X7))</f>
        <v>449040.53659870516</v>
      </c>
      <c r="G37" s="1001">
        <f t="shared" ca="1" si="23"/>
        <v>14527.463401294837</v>
      </c>
      <c r="H37" s="994"/>
      <c r="I37" s="1002">
        <f>SISENDID!G8+SISENDID!G9</f>
        <v>1081367</v>
      </c>
      <c r="R37" s="490" t="s">
        <v>461</v>
      </c>
      <c r="S37" s="492">
        <v>0.6</v>
      </c>
      <c r="Y37"/>
      <c r="Z37" s="387"/>
    </row>
    <row r="38" spans="3:26" x14ac:dyDescent="0.25">
      <c r="C38" s="1003" t="s">
        <v>462</v>
      </c>
      <c r="D38" s="1004">
        <f>SISENDID!D10</f>
        <v>579930</v>
      </c>
      <c r="E38" s="1004">
        <f t="shared" si="22"/>
        <v>579701</v>
      </c>
      <c r="F38" s="1004">
        <f ca="1">F39+F40+F41</f>
        <v>89340.828438101395</v>
      </c>
      <c r="G38" s="1005">
        <f t="shared" ca="1" si="23"/>
        <v>490360.17156189861</v>
      </c>
      <c r="H38" s="994"/>
      <c r="I38" s="1006">
        <f>SISENDID!G10</f>
        <v>229</v>
      </c>
      <c r="R38" s="496" t="s">
        <v>463</v>
      </c>
      <c r="S38" s="497">
        <v>0.4</v>
      </c>
      <c r="Z38" s="387"/>
    </row>
    <row r="39" spans="3:26" ht="24" x14ac:dyDescent="0.25">
      <c r="C39" s="1007" t="s">
        <v>464</v>
      </c>
      <c r="D39" s="1008">
        <f>SISENDID!D11</f>
        <v>557</v>
      </c>
      <c r="E39" s="1008">
        <f t="shared" si="22"/>
        <v>557</v>
      </c>
      <c r="F39" s="1008">
        <f>E39</f>
        <v>557</v>
      </c>
      <c r="G39" s="1009">
        <f t="shared" si="23"/>
        <v>0</v>
      </c>
      <c r="H39" s="994"/>
      <c r="I39" s="1010">
        <f>SISENDID!G11</f>
        <v>0</v>
      </c>
      <c r="R39" s="493" t="s">
        <v>465</v>
      </c>
      <c r="S39" s="492">
        <f ca="1">_xlfn.STDEV.P($O$4:$O$30)</f>
        <v>0.73056280147041874</v>
      </c>
      <c r="Z39" s="387"/>
    </row>
    <row r="40" spans="3:26" x14ac:dyDescent="0.25">
      <c r="C40" s="1007" t="s">
        <v>1681</v>
      </c>
      <c r="D40" s="1008">
        <f>SISENDID!D12</f>
        <v>33962</v>
      </c>
      <c r="E40" s="1008">
        <f t="shared" si="22"/>
        <v>33733</v>
      </c>
      <c r="F40" s="1008">
        <f ca="1">X15+X16+X17</f>
        <v>39918.693573091317</v>
      </c>
      <c r="G40" s="1009">
        <f t="shared" ca="1" si="23"/>
        <v>-6185.6935730913174</v>
      </c>
      <c r="H40" s="994"/>
      <c r="I40" s="1010">
        <f>SISENDID!G12</f>
        <v>229</v>
      </c>
      <c r="Z40" s="387"/>
    </row>
    <row r="41" spans="3:26" x14ac:dyDescent="0.25">
      <c r="C41" s="1007" t="s">
        <v>467</v>
      </c>
      <c r="D41" s="1008">
        <f>SISENDID!D13</f>
        <v>545411</v>
      </c>
      <c r="E41" s="1008">
        <f t="shared" si="22"/>
        <v>545411</v>
      </c>
      <c r="F41" s="1008">
        <f ca="1">SUM(X18:X26)</f>
        <v>48865.13486501007</v>
      </c>
      <c r="G41" s="1009">
        <f t="shared" ca="1" si="23"/>
        <v>496545.86513498996</v>
      </c>
      <c r="H41" s="994"/>
      <c r="I41" s="1010">
        <f>SISENDID!G13</f>
        <v>0</v>
      </c>
      <c r="R41" s="489" t="s">
        <v>468</v>
      </c>
      <c r="S41" s="414" t="s">
        <v>454</v>
      </c>
      <c r="Z41" s="387"/>
    </row>
    <row r="42" spans="3:26" x14ac:dyDescent="0.25">
      <c r="C42" s="995" t="s">
        <v>469</v>
      </c>
      <c r="D42" s="996">
        <f>SISENDID!D14</f>
        <v>27948</v>
      </c>
      <c r="E42" s="996">
        <f t="shared" si="22"/>
        <v>27489</v>
      </c>
      <c r="F42" s="996">
        <f ca="1">X30</f>
        <v>9070.0499999999993</v>
      </c>
      <c r="G42" s="997">
        <f t="shared" ca="1" si="23"/>
        <v>18418.95</v>
      </c>
      <c r="H42" s="994"/>
      <c r="I42" s="998">
        <f>SISENDID!G14</f>
        <v>459</v>
      </c>
      <c r="R42" s="490" t="s">
        <v>470</v>
      </c>
      <c r="S42" s="491" t="s">
        <v>471</v>
      </c>
      <c r="Z42" s="387"/>
    </row>
    <row r="43" spans="3:26" x14ac:dyDescent="0.25">
      <c r="C43" s="995" t="s">
        <v>472</v>
      </c>
      <c r="D43" s="996"/>
      <c r="E43" s="996"/>
      <c r="F43" s="996">
        <f ca="1">X28+X29</f>
        <v>3937.8020872487841</v>
      </c>
      <c r="G43" s="997">
        <f t="shared" ca="1" si="23"/>
        <v>-3937.8020872487841</v>
      </c>
      <c r="H43" s="994"/>
      <c r="I43" s="998"/>
      <c r="R43" s="494" t="s">
        <v>473</v>
      </c>
      <c r="S43" s="495" t="s">
        <v>474</v>
      </c>
      <c r="Z43" s="387"/>
    </row>
    <row r="44" spans="3:26" x14ac:dyDescent="0.25">
      <c r="C44" s="1011" t="s">
        <v>445</v>
      </c>
      <c r="D44" s="1004">
        <f>SISENDID!D15</f>
        <v>2173271</v>
      </c>
      <c r="E44" s="1004">
        <f>D44-I44</f>
        <v>1089676.709</v>
      </c>
      <c r="F44" s="1004">
        <f ca="1">F43+F42+F38+F35</f>
        <v>570308.92612405529</v>
      </c>
      <c r="G44" s="1005">
        <f t="shared" ca="1" si="23"/>
        <v>519367.78287594474</v>
      </c>
      <c r="H44" s="994"/>
      <c r="I44" s="1006">
        <f>SISENDID!G15</f>
        <v>1083594.291</v>
      </c>
      <c r="R44" s="490" t="s">
        <v>475</v>
      </c>
      <c r="S44" s="492" t="s">
        <v>476</v>
      </c>
      <c r="Z44" s="387"/>
    </row>
    <row r="45" spans="3:26" ht="46.9" customHeight="1" x14ac:dyDescent="0.25">
      <c r="C45" s="1012" t="s">
        <v>1682</v>
      </c>
      <c r="D45" s="1012"/>
      <c r="E45" s="1012"/>
      <c r="F45" s="1012"/>
      <c r="G45" s="1012"/>
      <c r="H45" s="1012"/>
      <c r="I45" s="1012"/>
      <c r="R45" s="498" t="s">
        <v>477</v>
      </c>
      <c r="S45" s="497" t="s">
        <v>478</v>
      </c>
    </row>
    <row r="46" spans="3:26" x14ac:dyDescent="0.25">
      <c r="D46" s="15"/>
      <c r="E46" s="40"/>
      <c r="F46" s="296"/>
      <c r="G46" s="296"/>
      <c r="R46" s="493" t="s">
        <v>479</v>
      </c>
      <c r="S46" s="492" t="s">
        <v>480</v>
      </c>
    </row>
    <row r="47" spans="3:26" x14ac:dyDescent="0.25">
      <c r="C47" s="374" t="s">
        <v>481</v>
      </c>
      <c r="F47" s="296"/>
      <c r="G47" s="296"/>
    </row>
    <row r="48" spans="3:26" x14ac:dyDescent="0.25">
      <c r="C48" s="418"/>
      <c r="D48" s="423" t="s">
        <v>482</v>
      </c>
      <c r="F48" s="296"/>
      <c r="G48" s="296"/>
    </row>
    <row r="49" spans="3:7" x14ac:dyDescent="0.25">
      <c r="C49" s="419" t="s">
        <v>456</v>
      </c>
      <c r="D49" s="424"/>
      <c r="F49" s="296"/>
      <c r="G49" s="296"/>
    </row>
    <row r="50" spans="3:7" x14ac:dyDescent="0.25">
      <c r="C50" s="939" t="s">
        <v>483</v>
      </c>
      <c r="D50" s="938">
        <f>SISENDID!M6</f>
        <v>1082906.291</v>
      </c>
      <c r="F50" s="296"/>
      <c r="G50" s="296"/>
    </row>
    <row r="51" spans="3:7" x14ac:dyDescent="0.25">
      <c r="C51" s="420" t="s">
        <v>484</v>
      </c>
      <c r="D51" s="425">
        <f>SISENDID!M7</f>
        <v>394731.44799999997</v>
      </c>
      <c r="F51" s="296"/>
      <c r="G51" s="296"/>
    </row>
    <row r="52" spans="3:7" x14ac:dyDescent="0.25">
      <c r="C52" s="420" t="s">
        <v>485</v>
      </c>
      <c r="D52" s="425">
        <f>SISENDID!M8</f>
        <v>203044.91999999998</v>
      </c>
      <c r="F52" s="296"/>
      <c r="G52" s="296"/>
    </row>
    <row r="53" spans="3:7" x14ac:dyDescent="0.25">
      <c r="C53" s="420" t="s">
        <v>486</v>
      </c>
      <c r="D53" s="425">
        <f>SISENDID!M9</f>
        <v>1030.4000000000001</v>
      </c>
      <c r="F53" s="296"/>
      <c r="G53" s="296"/>
    </row>
    <row r="54" spans="3:7" x14ac:dyDescent="0.25">
      <c r="C54" s="420" t="s">
        <v>487</v>
      </c>
      <c r="D54" s="425">
        <f>SISENDID!M10</f>
        <v>3970</v>
      </c>
      <c r="F54" s="296"/>
      <c r="G54" s="296"/>
    </row>
    <row r="55" spans="3:7" x14ac:dyDescent="0.25">
      <c r="C55" s="419" t="s">
        <v>447</v>
      </c>
      <c r="D55" s="426">
        <f>SUM(D50:D54)</f>
        <v>1685683.0589999999</v>
      </c>
      <c r="F55" s="296"/>
      <c r="G55" s="296"/>
    </row>
    <row r="56" spans="3:7" x14ac:dyDescent="0.25">
      <c r="C56" s="421" t="s">
        <v>488</v>
      </c>
      <c r="D56" s="427">
        <f>D55-D50</f>
        <v>602776.76799999992</v>
      </c>
      <c r="F56" s="296"/>
      <c r="G56" s="296"/>
    </row>
    <row r="57" spans="3:7" x14ac:dyDescent="0.25">
      <c r="C57" s="422" t="s">
        <v>462</v>
      </c>
      <c r="D57" s="428"/>
      <c r="F57" s="296"/>
      <c r="G57" s="296"/>
    </row>
    <row r="58" spans="3:7" x14ac:dyDescent="0.25">
      <c r="C58" s="380" t="s">
        <v>489</v>
      </c>
      <c r="D58" s="428">
        <f>SISENDID!M12</f>
        <v>406184</v>
      </c>
      <c r="F58" s="296"/>
    </row>
    <row r="59" spans="3:7" x14ac:dyDescent="0.25">
      <c r="C59" s="380" t="s">
        <v>490</v>
      </c>
      <c r="D59" s="428">
        <f>SISENDID!M13</f>
        <v>149944</v>
      </c>
      <c r="F59" s="296"/>
      <c r="G59" s="296"/>
    </row>
    <row r="60" spans="3:7" x14ac:dyDescent="0.25">
      <c r="C60" s="380" t="s">
        <v>491</v>
      </c>
      <c r="D60" s="428">
        <f>SISENDID!M14</f>
        <v>23565</v>
      </c>
    </row>
    <row r="61" spans="3:7" x14ac:dyDescent="0.25">
      <c r="C61" s="380" t="s">
        <v>492</v>
      </c>
      <c r="D61" s="428">
        <f>SISENDID!M15</f>
        <v>8</v>
      </c>
    </row>
    <row r="62" spans="3:7" x14ac:dyDescent="0.25">
      <c r="C62" s="380" t="s">
        <v>483</v>
      </c>
      <c r="D62" s="428">
        <f>SISENDID!M16</f>
        <v>229</v>
      </c>
    </row>
    <row r="63" spans="3:7" x14ac:dyDescent="0.25">
      <c r="C63" s="422" t="s">
        <v>493</v>
      </c>
      <c r="D63" s="429">
        <f>SUM(D58:D62)</f>
        <v>579930</v>
      </c>
    </row>
    <row r="64" spans="3:7" x14ac:dyDescent="0.25">
      <c r="C64" s="419" t="s">
        <v>445</v>
      </c>
      <c r="D64" s="426">
        <f>SUM(D50:D54)+SUM(D58:D62)</f>
        <v>2265613.0589999999</v>
      </c>
    </row>
    <row r="65" spans="3:4" x14ac:dyDescent="0.25">
      <c r="C65" s="421" t="s">
        <v>494</v>
      </c>
      <c r="D65" s="427">
        <f>D62+D50</f>
        <v>1083135.291</v>
      </c>
    </row>
    <row r="66" spans="3:4" x14ac:dyDescent="0.25">
      <c r="C66" s="421" t="s">
        <v>495</v>
      </c>
      <c r="D66" s="430">
        <f>D64-D65</f>
        <v>1182477.7679999999</v>
      </c>
    </row>
  </sheetData>
  <mergeCells count="5">
    <mergeCell ref="T1:X1"/>
    <mergeCell ref="T3:X3"/>
    <mergeCell ref="T14:X14"/>
    <mergeCell ref="T27:X27"/>
    <mergeCell ref="C45:I45"/>
  </mergeCells>
  <conditionalFormatting sqref="J4:J13 J15:J26 J28:J30">
    <cfRule type="colorScale" priority="39">
      <colorScale>
        <cfvo type="min"/>
        <cfvo type="percentile" val="50"/>
        <cfvo type="max"/>
        <color theme="9" tint="0.79998168889431442"/>
        <color theme="9" tint="0.39997558519241921"/>
        <color theme="9" tint="-0.249977111117893"/>
      </colorScale>
    </cfRule>
  </conditionalFormatting>
  <conditionalFormatting sqref="P4:R30">
    <cfRule type="cellIs" dxfId="85" priority="1" operator="equal">
      <formula>"Väga nõrk"</formula>
    </cfRule>
    <cfRule type="cellIs" dxfId="84" priority="2" operator="equal">
      <formula>"Nõrk"</formula>
    </cfRule>
    <cfRule type="cellIs" dxfId="83" priority="3" operator="equal">
      <formula>"Keskmine"</formula>
    </cfRule>
    <cfRule type="cellIs" dxfId="82" priority="4" operator="equal">
      <formula>"Kõrge"</formula>
    </cfRule>
    <cfRule type="cellIs" dxfId="81" priority="5" operator="equal">
      <formula>"Väga kõrge"</formula>
    </cfRule>
  </conditionalFormatting>
  <hyperlinks>
    <hyperlink ref="B4" location="'HO1'!A1" display="HO1" xr:uid="{2CD51757-988D-4DC0-ADB9-3E443623418C}"/>
    <hyperlink ref="B5" location="'HO3,8'!A1" display="HO3,8" xr:uid="{BF3A5D08-6EA1-45DE-92BC-026477EE1233}"/>
    <hyperlink ref="B6" location="'HO4'!A1" display="HO4" xr:uid="{42A877CC-E1E4-48C3-8A29-F11DAC25A048}"/>
    <hyperlink ref="B15" location="'TR13-18'!A1" display="TR1" xr:uid="{DE371CA6-644B-4EB5-B1A3-0E516C086184}"/>
    <hyperlink ref="B18" location="'TR1-5'!A1" display="TR13" xr:uid="{3AA0A36D-871A-4015-8719-C9479911B9AA}"/>
    <hyperlink ref="B16" location="'TR11'!A1" display="TR11" xr:uid="{761D1804-6C81-4C3E-A6F0-86C43D2FDDDE}"/>
    <hyperlink ref="B17" location="'TR12'!A1" display="TR12" xr:uid="{D415497B-4620-4E67-9C1E-B84606DEDE0D}"/>
    <hyperlink ref="B19" location="'TR19-21'!A1" display="TR19" xr:uid="{7C962F06-5735-4A6D-9241-AE5EE389FBD3}"/>
    <hyperlink ref="B20" location="'TR22-30'!A1" display="TR22-30" xr:uid="{8A7EBAB5-4104-44AA-B517-E00B1F011593}"/>
    <hyperlink ref="B21" location="'TR31-34'!A1" display="TR31" xr:uid="{8112C611-A2B9-4BAC-AAB4-EC9C4C38BAE0}"/>
    <hyperlink ref="B22" location="'TR31-34'!A1" display="TR35" xr:uid="{BFCA969F-4510-4375-9CD3-ADC017EE89B0}"/>
    <hyperlink ref="B23" location="'TR36,37,44'!A1" display="TR36,37,44" xr:uid="{E464A2A1-C1A8-4256-9256-91727A76EEB8}"/>
    <hyperlink ref="B24" location="'TR38-43'!A1" display="TR38" xr:uid="{83BCCAEB-F47B-4081-8069-9191ADEADCEB}"/>
    <hyperlink ref="B26" location="'TR46'!A1" display="TR46" xr:uid="{3E713B61-0E18-40E3-818B-0835C85FD0CD}"/>
    <hyperlink ref="B25" location="'TR45'!A1" display="TR45" xr:uid="{AAAB8645-CE3D-4D6E-B299-2AEFE6CC7FB0}"/>
    <hyperlink ref="B7" location="'HO5-7'!A1" display="HO5" xr:uid="{63176862-60C7-4289-84F5-DEC151FEFC45}"/>
    <hyperlink ref="B9" location="'HO12'!A1" display="HO12" xr:uid="{4B46EB7F-7B0E-493D-8D02-928BBA889D46}"/>
    <hyperlink ref="B8" location="'HO10,13'!A1" display="HO10" xr:uid="{ABA227BC-2C0D-41C5-89AD-87B2F66441C6}"/>
    <hyperlink ref="B10" location="'SM1'!A1" display="SM1" xr:uid="{0272B63D-8B00-4720-A577-7ABB7E565C4E}"/>
    <hyperlink ref="B28" location="'MA1-5'!A1" display="MA1-5" xr:uid="{1B92B550-733B-4169-A0E1-EF11FF73AF02}"/>
    <hyperlink ref="B11" location="'SM2'!A1" display="SM2" xr:uid="{8A77BAC5-3E20-4848-B45E-828DFD001744}"/>
    <hyperlink ref="B12" location="'SM3'!A1" display="SM3" xr:uid="{56174D96-C223-41D3-BF97-B339FCA261AB}"/>
    <hyperlink ref="B30" location="'CCU1'!A1" display="CCU1" xr:uid="{E4F7CB3B-65BA-4016-A3A9-1D68939E233C}"/>
    <hyperlink ref="B13" location="'EL2'!A1" display="EL2" xr:uid="{72330EA4-C530-405E-BFA6-8E2F7478D85C}"/>
    <hyperlink ref="B29" location="'RL1-2'!A1" display="RL1-2" xr:uid="{E727DCFD-9173-4999-BCE1-5CEA49498D04}"/>
  </hyperlinks>
  <pageMargins left="0.7" right="0.7" top="0.75" bottom="0.75" header="0.3" footer="0.3"/>
  <pageSetup orientation="portrait" horizontalDpi="1200" verticalDpi="120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406DA-A505-4C88-8370-556F77CDE3CD}">
  <sheetPr>
    <tabColor theme="5" tint="0.79998168889431442"/>
  </sheetPr>
  <dimension ref="A1:AV71"/>
  <sheetViews>
    <sheetView showGridLines="0" workbookViewId="0">
      <selection activeCell="F9" sqref="F9"/>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7" width="11.85546875" customWidth="1"/>
    <col min="8" max="8" width="11.7109375" customWidth="1"/>
    <col min="9" max="9" width="12.5703125" customWidth="1"/>
    <col min="10" max="10" width="11.7109375"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9" s="1" customFormat="1" x14ac:dyDescent="0.25">
      <c r="B1" s="32" t="s">
        <v>860</v>
      </c>
      <c r="C1" s="14"/>
      <c r="D1" s="14"/>
      <c r="E1" s="14"/>
      <c r="F1" s="14"/>
      <c r="G1" s="14"/>
      <c r="H1" s="14"/>
      <c r="I1" s="14"/>
      <c r="J1" s="14"/>
      <c r="K1" s="14"/>
      <c r="L1" s="14"/>
    </row>
    <row r="2" spans="1:29" s="1" customFormat="1" ht="6.75" customHeight="1" x14ac:dyDescent="0.25"/>
    <row r="3" spans="1:29" ht="105" customHeight="1" x14ac:dyDescent="0.25">
      <c r="A3" s="260" t="s">
        <v>432</v>
      </c>
      <c r="B3" s="988" t="s">
        <v>1399</v>
      </c>
      <c r="C3" s="988"/>
      <c r="D3" s="988"/>
      <c r="E3" s="988"/>
      <c r="F3" s="990" t="str" cm="1">
        <f t="array" ref="F3">IF(A3="","",_xlfn.LET(
_xlpm.k,TRIM(A3),
_xlpm.codes,IF(ISNUMBER(SEARCH("-",_xlpm.k)),
_xlfn.LET(
_xlpm.startPart,_xlfn.TEXTBEFORE(_xlpm.k,"-"),
_xlpm.endNum,--_xlfn.TEXTAFTER(_xlpm.k,"-"),
_xlpm.p,MIN(IFERROR(FIND({0;1;2;3;4;5;6;7;8;9},_xlpm.startPart),1000000000)),
_xlpm.prefix,LEFT(_xlpm.startPart,_xlpm.p-1),
_xlpm.startNum,--MID(_xlpm.startPart,_xlpm.p,99),
_xlpm.prefix&amp;_xlfn.SEQUENCE(_xlpm.endNum-_xlpm.startNum+1,1,_xlpm.startNum,1)
),
_xlpm.k
),
_xlpm.tegevused,IFERROR(_xlfn._xlws.FILTER(MEETMED!$D:$D,ISNUMBER(MATCH(MEETMED!$B:$B,_xlpm.codes,0))),""),
"TEGEVUS: "&amp;_xlfn.TEXTJOIN(CHAR(10),TRUE,_xlpm.tegevused)
))</f>
        <v>TEGEVUS: Jalakäijate alade laiendamine, nt autovabad tänavad (vanalinnas ning selle läheduses, linnaosade/asumite keskustes)
Teede ja tänavate rekonstrueerimisel lähtuda üheksa tänavatüübi põhimõttest; või Tänavagiidist, mis on veel täpsem, aga veel mitte valminud.
Linnasisene 30km/h piirkiirus
Roheline viimase miili teenus (last mile delivery inglise keeles)</v>
      </c>
      <c r="G3" s="990"/>
      <c r="H3" s="990"/>
      <c r="I3" s="990"/>
      <c r="J3" s="990"/>
      <c r="K3" s="990"/>
      <c r="L3" s="990"/>
      <c r="M3" s="1"/>
      <c r="N3" s="1"/>
      <c r="V3" s="1"/>
      <c r="W3" s="1"/>
      <c r="X3" s="1"/>
      <c r="Y3" s="1"/>
      <c r="Z3" s="1"/>
      <c r="AA3" s="1"/>
    </row>
    <row r="4" spans="1:29" s="1" customFormat="1" ht="7.5" customHeight="1" x14ac:dyDescent="0.25">
      <c r="B4" s="33"/>
      <c r="C4" s="33"/>
      <c r="D4" s="33"/>
      <c r="E4" s="33"/>
      <c r="F4" s="33"/>
      <c r="G4" s="33"/>
      <c r="H4" s="33"/>
      <c r="I4" s="33"/>
      <c r="J4" s="33"/>
      <c r="K4" s="33"/>
      <c r="L4" s="33"/>
    </row>
    <row r="5" spans="1:29" x14ac:dyDescent="0.25">
      <c r="A5" s="1"/>
      <c r="B5" s="673" t="s">
        <v>1073</v>
      </c>
      <c r="C5" s="673"/>
      <c r="D5" s="673"/>
      <c r="E5" s="673"/>
      <c r="F5" s="673"/>
      <c r="G5" s="673"/>
      <c r="H5" s="673"/>
      <c r="I5" s="673"/>
      <c r="J5" s="673"/>
      <c r="K5" s="673"/>
      <c r="L5" s="673"/>
      <c r="M5" s="1"/>
      <c r="N5" s="1"/>
      <c r="V5" s="1"/>
      <c r="W5" s="1"/>
      <c r="X5" s="1"/>
      <c r="Y5" s="1"/>
      <c r="Z5" s="1"/>
      <c r="AA5" s="1"/>
    </row>
    <row r="6" spans="1:29" s="1" customFormat="1" ht="19.5" customHeight="1" outlineLevel="1" x14ac:dyDescent="0.25">
      <c r="B6" s="13" t="s">
        <v>1350</v>
      </c>
      <c r="D6" s="2"/>
      <c r="F6" s="323"/>
      <c r="G6" s="323"/>
      <c r="H6" s="323"/>
      <c r="I6" s="323"/>
      <c r="J6" s="309"/>
      <c r="Y6" s="317"/>
      <c r="Z6" s="317"/>
      <c r="AA6" s="317"/>
      <c r="AB6" s="317"/>
      <c r="AC6" s="318" t="s">
        <v>645</v>
      </c>
    </row>
    <row r="7" spans="1:29" s="1" customFormat="1" ht="36.6" customHeight="1" outlineLevel="1" x14ac:dyDescent="0.25">
      <c r="B7" s="442" t="s">
        <v>1367</v>
      </c>
      <c r="C7" s="844" t="s">
        <v>1400</v>
      </c>
      <c r="D7" s="445" t="s">
        <v>1351</v>
      </c>
      <c r="E7" s="445" t="s">
        <v>1401</v>
      </c>
      <c r="F7" s="445" t="s">
        <v>1402</v>
      </c>
      <c r="G7" s="445" t="s">
        <v>1403</v>
      </c>
      <c r="H7" s="445" t="s">
        <v>1404</v>
      </c>
      <c r="I7" s="445" t="s">
        <v>1405</v>
      </c>
      <c r="J7" s="844" t="s">
        <v>1406</v>
      </c>
      <c r="L7" s="277" t="s">
        <v>876</v>
      </c>
    </row>
    <row r="8" spans="1:29" s="1" customFormat="1" outlineLevel="1" x14ac:dyDescent="0.25">
      <c r="B8" s="802" t="s">
        <v>1407</v>
      </c>
      <c r="C8" s="902">
        <v>2028</v>
      </c>
      <c r="D8" s="924">
        <v>8</v>
      </c>
      <c r="E8" s="840">
        <f>C8+D8-1</f>
        <v>2035</v>
      </c>
      <c r="F8" s="924">
        <v>300</v>
      </c>
      <c r="G8" s="924">
        <v>100</v>
      </c>
      <c r="H8" s="926">
        <v>0.03</v>
      </c>
      <c r="I8" s="926">
        <v>0.01</v>
      </c>
      <c r="J8" s="805"/>
      <c r="L8" s="893" t="s">
        <v>1670</v>
      </c>
      <c r="M8" s="305" t="s">
        <v>877</v>
      </c>
      <c r="Y8" s="319" t="s">
        <v>1408</v>
      </c>
      <c r="Z8" s="319"/>
      <c r="AA8" s="319"/>
      <c r="AB8" s="319"/>
      <c r="AC8" s="320">
        <v>1053</v>
      </c>
    </row>
    <row r="9" spans="1:29" s="1" customFormat="1" outlineLevel="1" x14ac:dyDescent="0.25">
      <c r="B9" s="802" t="s">
        <v>1409</v>
      </c>
      <c r="C9" s="902">
        <v>2028</v>
      </c>
      <c r="D9" s="924">
        <v>8</v>
      </c>
      <c r="E9" s="840">
        <f>C9+D9-1</f>
        <v>2035</v>
      </c>
      <c r="F9" s="924">
        <v>100</v>
      </c>
      <c r="G9" s="924">
        <v>100</v>
      </c>
      <c r="H9" s="926">
        <v>0.04</v>
      </c>
      <c r="I9" s="926">
        <v>0.04</v>
      </c>
      <c r="J9" s="805"/>
      <c r="L9" s="892" t="s">
        <v>878</v>
      </c>
      <c r="M9" s="305" t="s">
        <v>1669</v>
      </c>
      <c r="Y9" s="321" t="s">
        <v>1410</v>
      </c>
      <c r="Z9" s="321"/>
      <c r="AA9" s="321"/>
      <c r="AB9" s="321"/>
      <c r="AC9" s="320">
        <v>1026</v>
      </c>
    </row>
    <row r="10" spans="1:29" s="1" customFormat="1" ht="15.75" outlineLevel="1" x14ac:dyDescent="0.25">
      <c r="B10" s="802" t="s">
        <v>1411</v>
      </c>
      <c r="C10" s="902">
        <v>2030</v>
      </c>
      <c r="D10" s="924">
        <v>1</v>
      </c>
      <c r="E10" s="840">
        <f>C10+D10-1</f>
        <v>2030</v>
      </c>
      <c r="F10" s="804"/>
      <c r="G10" s="804"/>
      <c r="H10" s="926">
        <v>0.05</v>
      </c>
      <c r="I10" s="926">
        <v>0.01</v>
      </c>
      <c r="J10" s="805"/>
      <c r="K10" s="309"/>
      <c r="L10" s="892" t="s">
        <v>1671</v>
      </c>
      <c r="M10" s="228">
        <v>1234</v>
      </c>
      <c r="R10" s="316"/>
      <c r="S10" s="316"/>
      <c r="T10" s="316"/>
      <c r="U10" s="316"/>
      <c r="Y10" s="321" t="s">
        <v>1412</v>
      </c>
      <c r="Z10" s="321"/>
      <c r="AA10" s="321"/>
      <c r="AB10" s="321"/>
      <c r="AC10" s="322">
        <v>803</v>
      </c>
    </row>
    <row r="11" spans="1:29" s="1" customFormat="1" outlineLevel="1" x14ac:dyDescent="0.25">
      <c r="B11" s="802" t="s">
        <v>1413</v>
      </c>
      <c r="C11" s="902">
        <v>2028</v>
      </c>
      <c r="D11" s="924">
        <v>8</v>
      </c>
      <c r="E11" s="840">
        <f t="shared" ref="E11" si="0">C11+D11-1</f>
        <v>2035</v>
      </c>
      <c r="F11" s="804"/>
      <c r="G11" s="804"/>
      <c r="H11" s="804"/>
      <c r="I11" s="804"/>
      <c r="J11" s="906">
        <v>0.05</v>
      </c>
      <c r="K11" s="309"/>
      <c r="L11" s="309"/>
      <c r="Y11" s="321" t="s">
        <v>1414</v>
      </c>
      <c r="Z11" s="321"/>
      <c r="AA11" s="321"/>
      <c r="AB11" s="321"/>
      <c r="AC11" s="320">
        <v>1107</v>
      </c>
    </row>
    <row r="12" spans="1:29" s="1" customFormat="1" outlineLevel="1" x14ac:dyDescent="0.25">
      <c r="B12" s="822"/>
      <c r="C12" s="740"/>
      <c r="S12" s="13"/>
      <c r="Y12" s="319" t="s">
        <v>1415</v>
      </c>
      <c r="Z12" s="319"/>
      <c r="AA12" s="319"/>
      <c r="AB12" s="319"/>
      <c r="AC12" s="320">
        <v>300</v>
      </c>
    </row>
    <row r="13" spans="1:29" s="1" customFormat="1" outlineLevel="1" x14ac:dyDescent="0.25">
      <c r="B13" s="802" t="s">
        <v>1267</v>
      </c>
      <c r="C13" s="905">
        <v>3</v>
      </c>
      <c r="D13" s="7" t="s">
        <v>1232</v>
      </c>
      <c r="E13" s="309"/>
      <c r="F13" s="7" t="s">
        <v>1674</v>
      </c>
      <c r="G13" s="7"/>
      <c r="H13" s="7"/>
      <c r="I13" s="7"/>
      <c r="J13" s="7"/>
      <c r="K13" s="7"/>
      <c r="L13" s="7"/>
      <c r="Y13" s="315" t="s">
        <v>1416</v>
      </c>
    </row>
    <row r="14" spans="1:29" s="1" customFormat="1" outlineLevel="1" x14ac:dyDescent="0.25">
      <c r="B14" s="802" t="s">
        <v>1268</v>
      </c>
      <c r="C14" s="905">
        <v>1.4</v>
      </c>
      <c r="D14" s="7" t="s">
        <v>1269</v>
      </c>
      <c r="E14" s="165"/>
      <c r="F14" s="7" t="s">
        <v>1270</v>
      </c>
      <c r="G14" s="7"/>
      <c r="H14" s="7"/>
      <c r="I14" s="7"/>
      <c r="J14" s="7"/>
      <c r="K14" s="7"/>
      <c r="L14" s="7"/>
    </row>
    <row r="15" spans="1:29" s="1" customFormat="1" outlineLevel="1" x14ac:dyDescent="0.25">
      <c r="B15" s="802" t="s">
        <v>1217</v>
      </c>
      <c r="C15" s="905">
        <v>1.5</v>
      </c>
      <c r="D15" s="7" t="s">
        <v>1218</v>
      </c>
      <c r="E15" s="305"/>
      <c r="F15" s="7" t="s">
        <v>1384</v>
      </c>
      <c r="G15" s="7"/>
      <c r="H15" s="7"/>
      <c r="I15" s="7"/>
      <c r="J15" s="7"/>
      <c r="K15" s="7"/>
      <c r="L15" s="7"/>
    </row>
    <row r="16" spans="1:29" s="1" customFormat="1" outlineLevel="1" x14ac:dyDescent="0.25">
      <c r="B16" s="802" t="s">
        <v>1275</v>
      </c>
      <c r="C16" s="905">
        <v>0.2</v>
      </c>
      <c r="D16" s="7" t="s">
        <v>1220</v>
      </c>
      <c r="E16" s="305"/>
      <c r="F16" s="7"/>
      <c r="G16" s="7"/>
      <c r="H16" s="7"/>
      <c r="I16" s="7"/>
      <c r="J16" s="7"/>
      <c r="K16" s="7"/>
      <c r="L16" s="7"/>
    </row>
    <row r="17" spans="1:34" s="1" customFormat="1" outlineLevel="1" x14ac:dyDescent="0.25">
      <c r="B17" s="802" t="s">
        <v>1222</v>
      </c>
      <c r="C17" s="904">
        <v>0.5</v>
      </c>
      <c r="D17" s="7" t="s">
        <v>1223</v>
      </c>
      <c r="E17" s="305"/>
      <c r="F17" s="7" t="s">
        <v>1385</v>
      </c>
      <c r="G17" s="7"/>
      <c r="H17" s="7"/>
      <c r="I17" s="7"/>
      <c r="J17" s="7"/>
      <c r="K17" s="7"/>
      <c r="L17" s="7"/>
    </row>
    <row r="18" spans="1:34" s="1" customFormat="1" x14ac:dyDescent="0.25">
      <c r="B18" s="6"/>
      <c r="C18" s="6"/>
      <c r="D18" s="7"/>
      <c r="E18" s="7"/>
    </row>
    <row r="19" spans="1:34" x14ac:dyDescent="0.25">
      <c r="A19" s="1"/>
      <c r="B19" s="659" t="s">
        <v>895</v>
      </c>
      <c r="C19" s="659"/>
      <c r="D19" s="659"/>
      <c r="E19" s="659"/>
      <c r="F19" s="659"/>
      <c r="G19" s="659"/>
      <c r="H19" s="659"/>
      <c r="I19" s="659"/>
      <c r="J19" s="659"/>
      <c r="K19" s="659"/>
      <c r="L19" s="659"/>
      <c r="M19" s="1"/>
      <c r="N19" s="1"/>
      <c r="O19" s="1"/>
      <c r="P19" s="1"/>
      <c r="Q19" s="1"/>
      <c r="R19" s="1"/>
      <c r="S19" s="1"/>
      <c r="T19" s="1"/>
      <c r="U19" s="1"/>
      <c r="V19" s="1"/>
      <c r="W19" s="1"/>
      <c r="X19" s="1"/>
      <c r="Y19" s="1"/>
      <c r="Z19" s="1"/>
      <c r="AA19" s="1"/>
      <c r="AB19" s="1"/>
      <c r="AC19" s="1"/>
      <c r="AD19" s="1"/>
      <c r="AE19" s="1"/>
      <c r="AF19" s="1"/>
      <c r="AG19" s="1"/>
      <c r="AH19" s="1"/>
    </row>
    <row r="20" spans="1:34" s="1" customFormat="1" ht="3.75" customHeight="1" outlineLevel="1" x14ac:dyDescent="0.25"/>
    <row r="21" spans="1:34" s="1" customFormat="1" outlineLevel="1" x14ac:dyDescent="0.25">
      <c r="B21" s="13" t="s">
        <v>896</v>
      </c>
      <c r="D21" s="43"/>
      <c r="E21" s="284" t="s">
        <v>897</v>
      </c>
    </row>
    <row r="22" spans="1:34" s="1" customFormat="1" outlineLevel="1" x14ac:dyDescent="0.25">
      <c r="B22" s="660" t="s">
        <v>898</v>
      </c>
      <c r="C22" s="665" t="s">
        <v>899</v>
      </c>
      <c r="D22" s="43"/>
      <c r="E22" s="661"/>
      <c r="F22" s="701" t="s">
        <v>900</v>
      </c>
    </row>
    <row r="23" spans="1:34" s="1" customFormat="1" outlineLevel="1" x14ac:dyDescent="0.25">
      <c r="B23" s="663" t="s">
        <v>398</v>
      </c>
      <c r="C23" s="666">
        <f>SUM(D45:AB45)/1000/25</f>
        <v>1.6</v>
      </c>
      <c r="E23" s="663">
        <v>2030</v>
      </c>
      <c r="F23" s="670">
        <f>H59</f>
        <v>0</v>
      </c>
    </row>
    <row r="24" spans="1:34" s="1" customFormat="1" outlineLevel="1" x14ac:dyDescent="0.25">
      <c r="B24" s="155" t="s">
        <v>399</v>
      </c>
      <c r="C24" s="667">
        <f>C23</f>
        <v>1.6</v>
      </c>
      <c r="E24" s="155">
        <v>2035</v>
      </c>
      <c r="F24" s="428">
        <f>M59</f>
        <v>3540.3096525051915</v>
      </c>
    </row>
    <row r="25" spans="1:34" s="1" customFormat="1" outlineLevel="1" x14ac:dyDescent="0.25">
      <c r="B25" s="663" t="s">
        <v>400</v>
      </c>
      <c r="C25" s="666">
        <f>SUM(D47:AB47)/25/1000</f>
        <v>-7.7933315528159133</v>
      </c>
      <c r="E25" s="663">
        <v>2040</v>
      </c>
      <c r="F25" s="670">
        <f>R59</f>
        <v>9463.7421825588517</v>
      </c>
    </row>
    <row r="26" spans="1:34" s="1" customFormat="1" ht="15" customHeight="1" outlineLevel="1" x14ac:dyDescent="0.25">
      <c r="B26" s="155" t="s">
        <v>401</v>
      </c>
      <c r="C26" s="667">
        <f>SUM(D45:AB45)/25/1000</f>
        <v>1.6</v>
      </c>
      <c r="E26" s="155">
        <v>2045</v>
      </c>
      <c r="F26" s="428">
        <f>W59</f>
        <v>6725.5442141295534</v>
      </c>
    </row>
    <row r="27" spans="1:34" s="1" customFormat="1" outlineLevel="1" x14ac:dyDescent="0.25">
      <c r="B27" s="663" t="s">
        <v>901</v>
      </c>
      <c r="C27" s="670">
        <f>MAX(D59:AR59)</f>
        <v>11922.91427835088</v>
      </c>
      <c r="E27" s="663">
        <v>2050</v>
      </c>
      <c r="F27" s="670">
        <f>AB59</f>
        <v>4324.1051216314381</v>
      </c>
    </row>
    <row r="28" spans="1:34" s="1" customFormat="1" outlineLevel="1" x14ac:dyDescent="0.25">
      <c r="B28" s="155" t="s">
        <v>1386</v>
      </c>
      <c r="C28" s="428">
        <f>SUM(D57:AB58)/1000</f>
        <v>902.93177310569126</v>
      </c>
      <c r="D28" s="235"/>
      <c r="E28" s="7"/>
    </row>
    <row r="29" spans="1:34" s="1" customFormat="1" outlineLevel="1" x14ac:dyDescent="0.25">
      <c r="B29" s="663" t="s">
        <v>403</v>
      </c>
      <c r="C29" s="670">
        <f>SUM(D47:AV47)*1000/SUM(D59:AV59)</f>
        <v>-2329.8229738313535</v>
      </c>
      <c r="E29" s="7"/>
    </row>
    <row r="30" spans="1:34" s="1" customFormat="1" outlineLevel="1" x14ac:dyDescent="0.25">
      <c r="B30" s="13"/>
      <c r="C30" s="236"/>
      <c r="E30" s="7"/>
    </row>
    <row r="31" spans="1:34" s="1" customFormat="1" outlineLevel="1" x14ac:dyDescent="0.25">
      <c r="A31" s="2"/>
      <c r="B31" s="284" t="s">
        <v>903</v>
      </c>
      <c r="D31" s="43"/>
      <c r="E31" s="7"/>
      <c r="I31" s="277" t="s">
        <v>876</v>
      </c>
    </row>
    <row r="32" spans="1:34" s="1" customFormat="1" ht="16.5" customHeight="1" outlineLevel="1" x14ac:dyDescent="0.25">
      <c r="A32" s="2"/>
      <c r="B32" s="155" t="s">
        <v>904</v>
      </c>
      <c r="C32" s="307" t="s">
        <v>905</v>
      </c>
      <c r="D32" s="12"/>
      <c r="E32" s="12"/>
      <c r="F32" s="12"/>
      <c r="G32" s="12"/>
      <c r="H32" s="12"/>
      <c r="I32" s="311" t="s">
        <v>474</v>
      </c>
      <c r="J32" s="295" t="s">
        <v>906</v>
      </c>
    </row>
    <row r="33" spans="1:48" s="1" customFormat="1" outlineLevel="1" x14ac:dyDescent="0.25">
      <c r="A33" s="2"/>
      <c r="B33" s="155" t="s">
        <v>907</v>
      </c>
      <c r="C33" s="307" t="s">
        <v>910</v>
      </c>
      <c r="D33" s="397">
        <f>IF(C33="Kõrge",3,IF(C33="Mõõdukas",2,1))</f>
        <v>1</v>
      </c>
      <c r="E33" s="12"/>
      <c r="F33" s="12"/>
      <c r="G33" s="12"/>
      <c r="H33" s="12"/>
      <c r="I33" s="312" t="s">
        <v>905</v>
      </c>
      <c r="J33" s="295" t="s">
        <v>908</v>
      </c>
    </row>
    <row r="34" spans="1:48" s="1" customFormat="1" outlineLevel="1" x14ac:dyDescent="0.25">
      <c r="A34" s="2"/>
      <c r="B34" s="155" t="s">
        <v>909</v>
      </c>
      <c r="C34" s="307" t="s">
        <v>905</v>
      </c>
      <c r="D34" s="397">
        <f>IF(C34="Kõrge",3,IF(C34="Mõõdukas",2,1))</f>
        <v>2</v>
      </c>
      <c r="E34" s="12"/>
      <c r="F34" s="12"/>
      <c r="I34" s="313" t="s">
        <v>910</v>
      </c>
      <c r="J34" s="295" t="s">
        <v>911</v>
      </c>
    </row>
    <row r="35" spans="1:48" s="1" customFormat="1" x14ac:dyDescent="0.25">
      <c r="B35" s="4"/>
      <c r="C35" s="399" t="s">
        <v>912</v>
      </c>
      <c r="D35" s="398">
        <f>D34+D33</f>
        <v>3</v>
      </c>
      <c r="E35" s="12"/>
      <c r="F35" s="12"/>
      <c r="G35" s="12"/>
      <c r="H35" s="12"/>
    </row>
    <row r="36" spans="1:48" x14ac:dyDescent="0.25">
      <c r="A36" s="1"/>
      <c r="B36" s="659" t="s">
        <v>913</v>
      </c>
      <c r="C36" s="659"/>
      <c r="D36" s="659"/>
      <c r="E36" s="659"/>
      <c r="F36" s="659"/>
      <c r="G36" s="659"/>
      <c r="H36" s="659"/>
      <c r="I36" s="659"/>
      <c r="J36" s="659"/>
      <c r="K36" s="659"/>
      <c r="L36" s="659"/>
      <c r="M36" s="659"/>
      <c r="N36" s="659"/>
      <c r="O36" s="659"/>
      <c r="P36" s="659"/>
      <c r="Q36" s="659"/>
      <c r="R36" s="659"/>
      <c r="S36" s="659"/>
      <c r="T36" s="659"/>
      <c r="U36" s="659"/>
      <c r="V36" s="659"/>
      <c r="W36" s="659"/>
      <c r="X36" s="659"/>
      <c r="Y36" s="659"/>
      <c r="Z36" s="659"/>
      <c r="AA36" s="659"/>
      <c r="AB36" s="659"/>
      <c r="AC36" s="659"/>
      <c r="AD36" s="659"/>
      <c r="AE36" s="659"/>
      <c r="AF36" s="659"/>
      <c r="AG36" s="659"/>
      <c r="AH36" s="659"/>
      <c r="AI36" s="659"/>
      <c r="AJ36" s="659"/>
      <c r="AK36" s="659"/>
      <c r="AL36" s="659"/>
      <c r="AM36" s="659"/>
      <c r="AN36" s="659"/>
      <c r="AO36" s="659"/>
      <c r="AP36" s="659"/>
      <c r="AQ36" s="659"/>
      <c r="AR36" s="659"/>
      <c r="AS36" s="659"/>
      <c r="AT36" s="659"/>
      <c r="AU36" s="659"/>
      <c r="AV36" s="659"/>
    </row>
    <row r="37" spans="1:48" s="15" customFormat="1" ht="7.5" customHeight="1" outlineLevel="1" x14ac:dyDescent="0.25">
      <c r="B37" s="833"/>
      <c r="C37" s="833"/>
      <c r="D37" s="833"/>
      <c r="E37" s="833"/>
      <c r="F37" s="833"/>
      <c r="G37" s="833"/>
      <c r="H37" s="833"/>
      <c r="I37" s="833"/>
      <c r="J37" s="833"/>
      <c r="K37" s="833"/>
      <c r="L37" s="833"/>
      <c r="M37" s="833"/>
      <c r="N37" s="833"/>
      <c r="O37" s="833"/>
      <c r="P37" s="833"/>
      <c r="Q37" s="833"/>
      <c r="R37" s="833"/>
      <c r="S37" s="833"/>
      <c r="T37" s="833"/>
      <c r="U37" s="833"/>
      <c r="V37" s="833"/>
      <c r="W37" s="833"/>
      <c r="X37" s="833"/>
      <c r="Y37" s="833"/>
      <c r="Z37" s="833"/>
      <c r="AA37" s="833"/>
      <c r="AB37" s="833"/>
      <c r="AC37" s="833"/>
      <c r="AD37" s="833"/>
      <c r="AE37" s="833"/>
      <c r="AF37" s="833"/>
      <c r="AG37" s="833"/>
      <c r="AH37" s="833"/>
      <c r="AI37" s="833"/>
      <c r="AJ37" s="833"/>
      <c r="AK37" s="833"/>
      <c r="AL37" s="833"/>
      <c r="AM37" s="833"/>
      <c r="AN37" s="833"/>
      <c r="AO37" s="833"/>
      <c r="AP37" s="833"/>
      <c r="AQ37" s="833"/>
      <c r="AR37" s="833"/>
      <c r="AS37" s="833"/>
      <c r="AT37" s="833"/>
      <c r="AU37" s="833"/>
      <c r="AV37" s="833"/>
    </row>
    <row r="38" spans="1:48" s="15" customFormat="1" ht="13.5" outlineLevel="1" x14ac:dyDescent="0.25">
      <c r="B38" s="715" t="s">
        <v>914</v>
      </c>
      <c r="C38" s="719"/>
      <c r="D38" s="432">
        <v>2026</v>
      </c>
      <c r="E38" s="432">
        <f>D38+1</f>
        <v>2027</v>
      </c>
      <c r="F38" s="432">
        <f t="shared" ref="F38:AV38" si="1">E38+1</f>
        <v>2028</v>
      </c>
      <c r="G38" s="432">
        <f t="shared" si="1"/>
        <v>2029</v>
      </c>
      <c r="H38" s="432">
        <f t="shared" si="1"/>
        <v>2030</v>
      </c>
      <c r="I38" s="432">
        <f t="shared" si="1"/>
        <v>2031</v>
      </c>
      <c r="J38" s="432">
        <f t="shared" si="1"/>
        <v>2032</v>
      </c>
      <c r="K38" s="432">
        <f t="shared" si="1"/>
        <v>2033</v>
      </c>
      <c r="L38" s="432">
        <f t="shared" si="1"/>
        <v>2034</v>
      </c>
      <c r="M38" s="432">
        <f t="shared" si="1"/>
        <v>2035</v>
      </c>
      <c r="N38" s="432">
        <f>M38+1</f>
        <v>2036</v>
      </c>
      <c r="O38" s="432">
        <f t="shared" si="1"/>
        <v>2037</v>
      </c>
      <c r="P38" s="432">
        <f t="shared" si="1"/>
        <v>2038</v>
      </c>
      <c r="Q38" s="432">
        <f t="shared" si="1"/>
        <v>2039</v>
      </c>
      <c r="R38" s="432">
        <f t="shared" si="1"/>
        <v>2040</v>
      </c>
      <c r="S38" s="432">
        <f>R38+1</f>
        <v>2041</v>
      </c>
      <c r="T38" s="432">
        <f>S38+1</f>
        <v>2042</v>
      </c>
      <c r="U38" s="432">
        <f>T38+1</f>
        <v>2043</v>
      </c>
      <c r="V38" s="432">
        <f t="shared" si="1"/>
        <v>2044</v>
      </c>
      <c r="W38" s="432">
        <f t="shared" si="1"/>
        <v>2045</v>
      </c>
      <c r="X38" s="432">
        <f t="shared" si="1"/>
        <v>2046</v>
      </c>
      <c r="Y38" s="432">
        <f t="shared" si="1"/>
        <v>2047</v>
      </c>
      <c r="Z38" s="432">
        <f t="shared" si="1"/>
        <v>2048</v>
      </c>
      <c r="AA38" s="432">
        <f t="shared" si="1"/>
        <v>2049</v>
      </c>
      <c r="AB38" s="432">
        <f t="shared" si="1"/>
        <v>2050</v>
      </c>
      <c r="AC38" s="432">
        <f t="shared" si="1"/>
        <v>2051</v>
      </c>
      <c r="AD38" s="432">
        <f t="shared" si="1"/>
        <v>2052</v>
      </c>
      <c r="AE38" s="432">
        <f t="shared" si="1"/>
        <v>2053</v>
      </c>
      <c r="AF38" s="432">
        <f t="shared" si="1"/>
        <v>2054</v>
      </c>
      <c r="AG38" s="432">
        <f t="shared" si="1"/>
        <v>2055</v>
      </c>
      <c r="AH38" s="432">
        <f t="shared" si="1"/>
        <v>2056</v>
      </c>
      <c r="AI38" s="432">
        <f t="shared" si="1"/>
        <v>2057</v>
      </c>
      <c r="AJ38" s="432">
        <f t="shared" si="1"/>
        <v>2058</v>
      </c>
      <c r="AK38" s="432">
        <f t="shared" si="1"/>
        <v>2059</v>
      </c>
      <c r="AL38" s="432">
        <f t="shared" si="1"/>
        <v>2060</v>
      </c>
      <c r="AM38" s="432">
        <f t="shared" si="1"/>
        <v>2061</v>
      </c>
      <c r="AN38" s="432">
        <f t="shared" si="1"/>
        <v>2062</v>
      </c>
      <c r="AO38" s="432">
        <f t="shared" si="1"/>
        <v>2063</v>
      </c>
      <c r="AP38" s="432">
        <f t="shared" si="1"/>
        <v>2064</v>
      </c>
      <c r="AQ38" s="432">
        <f t="shared" si="1"/>
        <v>2065</v>
      </c>
      <c r="AR38" s="432">
        <f t="shared" si="1"/>
        <v>2066</v>
      </c>
      <c r="AS38" s="432">
        <f t="shared" si="1"/>
        <v>2067</v>
      </c>
      <c r="AT38" s="432">
        <f t="shared" si="1"/>
        <v>2068</v>
      </c>
      <c r="AU38" s="432">
        <f t="shared" si="1"/>
        <v>2069</v>
      </c>
      <c r="AV38" s="716">
        <f t="shared" si="1"/>
        <v>2070</v>
      </c>
    </row>
    <row r="39" spans="1:48" s="15" customFormat="1" ht="13.5" outlineLevel="1" x14ac:dyDescent="0.25">
      <c r="B39" s="689" t="s">
        <v>1360</v>
      </c>
      <c r="C39" s="815"/>
      <c r="D39" s="686"/>
      <c r="E39" s="686"/>
      <c r="F39" s="686"/>
      <c r="G39" s="686"/>
      <c r="H39" s="686"/>
      <c r="I39" s="686"/>
      <c r="J39" s="686"/>
      <c r="K39" s="686"/>
      <c r="L39" s="686"/>
      <c r="M39" s="686"/>
      <c r="N39" s="686"/>
      <c r="O39" s="686"/>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6"/>
      <c r="AM39" s="686"/>
      <c r="AN39" s="686"/>
      <c r="AO39" s="686"/>
      <c r="AP39" s="686"/>
      <c r="AQ39" s="686"/>
      <c r="AR39" s="686"/>
      <c r="AS39" s="686"/>
      <c r="AT39" s="686"/>
      <c r="AU39" s="686"/>
      <c r="AV39" s="687"/>
    </row>
    <row r="40" spans="1:48" s="15" customFormat="1" ht="13.5" outlineLevel="1" x14ac:dyDescent="0.25">
      <c r="B40" s="671" t="s">
        <v>1407</v>
      </c>
      <c r="C40" s="818" t="s">
        <v>1279</v>
      </c>
      <c r="D40" s="675">
        <f t="shared" ref="D40:AV40" si="2">IF(OR(D38&lt;$C$8,D38&gt;$E$8),0,1)</f>
        <v>0</v>
      </c>
      <c r="E40" s="675">
        <f t="shared" si="2"/>
        <v>0</v>
      </c>
      <c r="F40" s="675">
        <f t="shared" si="2"/>
        <v>1</v>
      </c>
      <c r="G40" s="675">
        <f t="shared" si="2"/>
        <v>1</v>
      </c>
      <c r="H40" s="675">
        <f t="shared" si="2"/>
        <v>1</v>
      </c>
      <c r="I40" s="675">
        <f t="shared" si="2"/>
        <v>1</v>
      </c>
      <c r="J40" s="675">
        <f t="shared" si="2"/>
        <v>1</v>
      </c>
      <c r="K40" s="675">
        <f t="shared" si="2"/>
        <v>1</v>
      </c>
      <c r="L40" s="675">
        <f t="shared" si="2"/>
        <v>1</v>
      </c>
      <c r="M40" s="675">
        <f t="shared" si="2"/>
        <v>1</v>
      </c>
      <c r="N40" s="675">
        <f t="shared" si="2"/>
        <v>0</v>
      </c>
      <c r="O40" s="675">
        <f t="shared" si="2"/>
        <v>0</v>
      </c>
      <c r="P40" s="675">
        <f t="shared" si="2"/>
        <v>0</v>
      </c>
      <c r="Q40" s="675">
        <f t="shared" si="2"/>
        <v>0</v>
      </c>
      <c r="R40" s="675">
        <f t="shared" si="2"/>
        <v>0</v>
      </c>
      <c r="S40" s="675">
        <f t="shared" si="2"/>
        <v>0</v>
      </c>
      <c r="T40" s="675">
        <f t="shared" si="2"/>
        <v>0</v>
      </c>
      <c r="U40" s="675">
        <f t="shared" si="2"/>
        <v>0</v>
      </c>
      <c r="V40" s="675">
        <f t="shared" si="2"/>
        <v>0</v>
      </c>
      <c r="W40" s="675">
        <f t="shared" si="2"/>
        <v>0</v>
      </c>
      <c r="X40" s="675">
        <f t="shared" si="2"/>
        <v>0</v>
      </c>
      <c r="Y40" s="675">
        <f t="shared" si="2"/>
        <v>0</v>
      </c>
      <c r="Z40" s="675">
        <f t="shared" si="2"/>
        <v>0</v>
      </c>
      <c r="AA40" s="675">
        <f t="shared" si="2"/>
        <v>0</v>
      </c>
      <c r="AB40" s="675">
        <f t="shared" si="2"/>
        <v>0</v>
      </c>
      <c r="AC40" s="675">
        <f t="shared" si="2"/>
        <v>0</v>
      </c>
      <c r="AD40" s="675">
        <f t="shared" si="2"/>
        <v>0</v>
      </c>
      <c r="AE40" s="675">
        <f t="shared" si="2"/>
        <v>0</v>
      </c>
      <c r="AF40" s="675">
        <f t="shared" si="2"/>
        <v>0</v>
      </c>
      <c r="AG40" s="675">
        <f t="shared" si="2"/>
        <v>0</v>
      </c>
      <c r="AH40" s="675">
        <f t="shared" si="2"/>
        <v>0</v>
      </c>
      <c r="AI40" s="675">
        <f t="shared" si="2"/>
        <v>0</v>
      </c>
      <c r="AJ40" s="675">
        <f t="shared" si="2"/>
        <v>0</v>
      </c>
      <c r="AK40" s="675">
        <f t="shared" si="2"/>
        <v>0</v>
      </c>
      <c r="AL40" s="675">
        <f t="shared" si="2"/>
        <v>0</v>
      </c>
      <c r="AM40" s="675">
        <f t="shared" si="2"/>
        <v>0</v>
      </c>
      <c r="AN40" s="675">
        <f t="shared" si="2"/>
        <v>0</v>
      </c>
      <c r="AO40" s="675">
        <f t="shared" si="2"/>
        <v>0</v>
      </c>
      <c r="AP40" s="675">
        <f t="shared" si="2"/>
        <v>0</v>
      </c>
      <c r="AQ40" s="675">
        <f t="shared" si="2"/>
        <v>0</v>
      </c>
      <c r="AR40" s="675">
        <f t="shared" si="2"/>
        <v>0</v>
      </c>
      <c r="AS40" s="675">
        <f t="shared" si="2"/>
        <v>0</v>
      </c>
      <c r="AT40" s="675">
        <f t="shared" si="2"/>
        <v>0</v>
      </c>
      <c r="AU40" s="675">
        <f t="shared" si="2"/>
        <v>0</v>
      </c>
      <c r="AV40" s="676">
        <f t="shared" si="2"/>
        <v>0</v>
      </c>
    </row>
    <row r="41" spans="1:48" s="15" customFormat="1" ht="13.5" outlineLevel="1" x14ac:dyDescent="0.25">
      <c r="B41" s="671" t="s">
        <v>1409</v>
      </c>
      <c r="C41" s="818" t="s">
        <v>1279</v>
      </c>
      <c r="D41" s="675">
        <f>IF(OR(D38&lt;$C$9,D38&gt;$E$9),0,1)</f>
        <v>0</v>
      </c>
      <c r="E41" s="675">
        <f t="shared" ref="E41:AV41" si="3">IF(OR(E38&lt;$C$9,E38&gt;$E$9),0,1)</f>
        <v>0</v>
      </c>
      <c r="F41" s="675">
        <f t="shared" si="3"/>
        <v>1</v>
      </c>
      <c r="G41" s="675">
        <f t="shared" si="3"/>
        <v>1</v>
      </c>
      <c r="H41" s="675">
        <f t="shared" si="3"/>
        <v>1</v>
      </c>
      <c r="I41" s="675">
        <f t="shared" si="3"/>
        <v>1</v>
      </c>
      <c r="J41" s="675">
        <f t="shared" si="3"/>
        <v>1</v>
      </c>
      <c r="K41" s="675">
        <f t="shared" si="3"/>
        <v>1</v>
      </c>
      <c r="L41" s="675">
        <f t="shared" si="3"/>
        <v>1</v>
      </c>
      <c r="M41" s="675">
        <f t="shared" si="3"/>
        <v>1</v>
      </c>
      <c r="N41" s="675">
        <f t="shared" si="3"/>
        <v>0</v>
      </c>
      <c r="O41" s="675">
        <f t="shared" si="3"/>
        <v>0</v>
      </c>
      <c r="P41" s="675">
        <f t="shared" si="3"/>
        <v>0</v>
      </c>
      <c r="Q41" s="675">
        <f t="shared" si="3"/>
        <v>0</v>
      </c>
      <c r="R41" s="675">
        <f t="shared" si="3"/>
        <v>0</v>
      </c>
      <c r="S41" s="675">
        <f t="shared" si="3"/>
        <v>0</v>
      </c>
      <c r="T41" s="675">
        <f t="shared" si="3"/>
        <v>0</v>
      </c>
      <c r="U41" s="675">
        <f t="shared" si="3"/>
        <v>0</v>
      </c>
      <c r="V41" s="675">
        <f t="shared" si="3"/>
        <v>0</v>
      </c>
      <c r="W41" s="675">
        <f t="shared" si="3"/>
        <v>0</v>
      </c>
      <c r="X41" s="675">
        <f t="shared" si="3"/>
        <v>0</v>
      </c>
      <c r="Y41" s="675">
        <f t="shared" si="3"/>
        <v>0</v>
      </c>
      <c r="Z41" s="675">
        <f t="shared" si="3"/>
        <v>0</v>
      </c>
      <c r="AA41" s="675">
        <f t="shared" si="3"/>
        <v>0</v>
      </c>
      <c r="AB41" s="675">
        <f t="shared" si="3"/>
        <v>0</v>
      </c>
      <c r="AC41" s="675">
        <f t="shared" si="3"/>
        <v>0</v>
      </c>
      <c r="AD41" s="675">
        <f t="shared" si="3"/>
        <v>0</v>
      </c>
      <c r="AE41" s="675">
        <f t="shared" si="3"/>
        <v>0</v>
      </c>
      <c r="AF41" s="675">
        <f t="shared" si="3"/>
        <v>0</v>
      </c>
      <c r="AG41" s="675">
        <f t="shared" si="3"/>
        <v>0</v>
      </c>
      <c r="AH41" s="675">
        <f t="shared" si="3"/>
        <v>0</v>
      </c>
      <c r="AI41" s="675">
        <f t="shared" si="3"/>
        <v>0</v>
      </c>
      <c r="AJ41" s="675">
        <f t="shared" si="3"/>
        <v>0</v>
      </c>
      <c r="AK41" s="675">
        <f t="shared" si="3"/>
        <v>0</v>
      </c>
      <c r="AL41" s="675">
        <f t="shared" si="3"/>
        <v>0</v>
      </c>
      <c r="AM41" s="675">
        <f t="shared" si="3"/>
        <v>0</v>
      </c>
      <c r="AN41" s="675">
        <f t="shared" si="3"/>
        <v>0</v>
      </c>
      <c r="AO41" s="675">
        <f t="shared" si="3"/>
        <v>0</v>
      </c>
      <c r="AP41" s="675">
        <f t="shared" si="3"/>
        <v>0</v>
      </c>
      <c r="AQ41" s="675">
        <f t="shared" si="3"/>
        <v>0</v>
      </c>
      <c r="AR41" s="675">
        <f t="shared" si="3"/>
        <v>0</v>
      </c>
      <c r="AS41" s="675">
        <f t="shared" si="3"/>
        <v>0</v>
      </c>
      <c r="AT41" s="675">
        <f t="shared" si="3"/>
        <v>0</v>
      </c>
      <c r="AU41" s="675">
        <f t="shared" si="3"/>
        <v>0</v>
      </c>
      <c r="AV41" s="676">
        <f t="shared" si="3"/>
        <v>0</v>
      </c>
    </row>
    <row r="42" spans="1:48" s="15" customFormat="1" ht="13.5" outlineLevel="1" x14ac:dyDescent="0.25">
      <c r="B42" s="671" t="s">
        <v>1411</v>
      </c>
      <c r="C42" s="818" t="s">
        <v>1279</v>
      </c>
      <c r="D42" s="675">
        <f>IF(OR(D38&lt;$C$10,D38&gt;$E$10),0,1)</f>
        <v>0</v>
      </c>
      <c r="E42" s="675">
        <f t="shared" ref="E42:AV42" si="4">IF(OR(E38&lt;$C$10,E38&gt;$E$10),0,1)</f>
        <v>0</v>
      </c>
      <c r="F42" s="675">
        <f t="shared" si="4"/>
        <v>0</v>
      </c>
      <c r="G42" s="675">
        <f t="shared" si="4"/>
        <v>0</v>
      </c>
      <c r="H42" s="675">
        <f t="shared" si="4"/>
        <v>1</v>
      </c>
      <c r="I42" s="675">
        <f t="shared" si="4"/>
        <v>0</v>
      </c>
      <c r="J42" s="675">
        <f t="shared" si="4"/>
        <v>0</v>
      </c>
      <c r="K42" s="675">
        <f t="shared" si="4"/>
        <v>0</v>
      </c>
      <c r="L42" s="675">
        <f t="shared" si="4"/>
        <v>0</v>
      </c>
      <c r="M42" s="675">
        <f t="shared" si="4"/>
        <v>0</v>
      </c>
      <c r="N42" s="675">
        <f t="shared" si="4"/>
        <v>0</v>
      </c>
      <c r="O42" s="675">
        <f t="shared" si="4"/>
        <v>0</v>
      </c>
      <c r="P42" s="675">
        <f t="shared" si="4"/>
        <v>0</v>
      </c>
      <c r="Q42" s="675">
        <f t="shared" si="4"/>
        <v>0</v>
      </c>
      <c r="R42" s="675">
        <f t="shared" si="4"/>
        <v>0</v>
      </c>
      <c r="S42" s="675">
        <f t="shared" si="4"/>
        <v>0</v>
      </c>
      <c r="T42" s="675">
        <f t="shared" si="4"/>
        <v>0</v>
      </c>
      <c r="U42" s="675">
        <f t="shared" si="4"/>
        <v>0</v>
      </c>
      <c r="V42" s="675">
        <f t="shared" si="4"/>
        <v>0</v>
      </c>
      <c r="W42" s="675">
        <f t="shared" si="4"/>
        <v>0</v>
      </c>
      <c r="X42" s="675">
        <f t="shared" si="4"/>
        <v>0</v>
      </c>
      <c r="Y42" s="675">
        <f t="shared" si="4"/>
        <v>0</v>
      </c>
      <c r="Z42" s="675">
        <f t="shared" si="4"/>
        <v>0</v>
      </c>
      <c r="AA42" s="675">
        <f t="shared" si="4"/>
        <v>0</v>
      </c>
      <c r="AB42" s="675">
        <f t="shared" si="4"/>
        <v>0</v>
      </c>
      <c r="AC42" s="675">
        <f t="shared" si="4"/>
        <v>0</v>
      </c>
      <c r="AD42" s="675">
        <f t="shared" si="4"/>
        <v>0</v>
      </c>
      <c r="AE42" s="675">
        <f t="shared" si="4"/>
        <v>0</v>
      </c>
      <c r="AF42" s="675">
        <f t="shared" si="4"/>
        <v>0</v>
      </c>
      <c r="AG42" s="675">
        <f t="shared" si="4"/>
        <v>0</v>
      </c>
      <c r="AH42" s="675">
        <f t="shared" si="4"/>
        <v>0</v>
      </c>
      <c r="AI42" s="675">
        <f t="shared" si="4"/>
        <v>0</v>
      </c>
      <c r="AJ42" s="675">
        <f t="shared" si="4"/>
        <v>0</v>
      </c>
      <c r="AK42" s="675">
        <f t="shared" si="4"/>
        <v>0</v>
      </c>
      <c r="AL42" s="675">
        <f t="shared" si="4"/>
        <v>0</v>
      </c>
      <c r="AM42" s="675">
        <f t="shared" si="4"/>
        <v>0</v>
      </c>
      <c r="AN42" s="675">
        <f t="shared" si="4"/>
        <v>0</v>
      </c>
      <c r="AO42" s="675">
        <f t="shared" si="4"/>
        <v>0</v>
      </c>
      <c r="AP42" s="675">
        <f t="shared" si="4"/>
        <v>0</v>
      </c>
      <c r="AQ42" s="675">
        <f t="shared" si="4"/>
        <v>0</v>
      </c>
      <c r="AR42" s="675">
        <f t="shared" si="4"/>
        <v>0</v>
      </c>
      <c r="AS42" s="675">
        <f t="shared" si="4"/>
        <v>0</v>
      </c>
      <c r="AT42" s="675">
        <f t="shared" si="4"/>
        <v>0</v>
      </c>
      <c r="AU42" s="675">
        <f t="shared" si="4"/>
        <v>0</v>
      </c>
      <c r="AV42" s="676">
        <f t="shared" si="4"/>
        <v>0</v>
      </c>
    </row>
    <row r="43" spans="1:48" s="15" customFormat="1" ht="13.5" outlineLevel="1" x14ac:dyDescent="0.25">
      <c r="B43" s="671" t="s">
        <v>1413</v>
      </c>
      <c r="C43" s="818" t="s">
        <v>1279</v>
      </c>
      <c r="D43" s="675">
        <f t="shared" ref="D43:AV43" si="5">IF(OR(D38&lt;$C$11,D38&gt;$E$11),0,1)</f>
        <v>0</v>
      </c>
      <c r="E43" s="675">
        <f t="shared" si="5"/>
        <v>0</v>
      </c>
      <c r="F43" s="675">
        <f t="shared" si="5"/>
        <v>1</v>
      </c>
      <c r="G43" s="675">
        <f t="shared" si="5"/>
        <v>1</v>
      </c>
      <c r="H43" s="675">
        <f t="shared" si="5"/>
        <v>1</v>
      </c>
      <c r="I43" s="675">
        <f t="shared" si="5"/>
        <v>1</v>
      </c>
      <c r="J43" s="675">
        <f t="shared" si="5"/>
        <v>1</v>
      </c>
      <c r="K43" s="675">
        <f t="shared" si="5"/>
        <v>1</v>
      </c>
      <c r="L43" s="675">
        <f t="shared" si="5"/>
        <v>1</v>
      </c>
      <c r="M43" s="675">
        <f t="shared" si="5"/>
        <v>1</v>
      </c>
      <c r="N43" s="675">
        <f t="shared" si="5"/>
        <v>0</v>
      </c>
      <c r="O43" s="675">
        <f t="shared" si="5"/>
        <v>0</v>
      </c>
      <c r="P43" s="675">
        <f t="shared" si="5"/>
        <v>0</v>
      </c>
      <c r="Q43" s="675">
        <f t="shared" si="5"/>
        <v>0</v>
      </c>
      <c r="R43" s="675">
        <f t="shared" si="5"/>
        <v>0</v>
      </c>
      <c r="S43" s="675">
        <f t="shared" si="5"/>
        <v>0</v>
      </c>
      <c r="T43" s="675">
        <f t="shared" si="5"/>
        <v>0</v>
      </c>
      <c r="U43" s="675">
        <f t="shared" si="5"/>
        <v>0</v>
      </c>
      <c r="V43" s="675">
        <f t="shared" si="5"/>
        <v>0</v>
      </c>
      <c r="W43" s="675">
        <f t="shared" si="5"/>
        <v>0</v>
      </c>
      <c r="X43" s="675">
        <f t="shared" si="5"/>
        <v>0</v>
      </c>
      <c r="Y43" s="675">
        <f t="shared" si="5"/>
        <v>0</v>
      </c>
      <c r="Z43" s="675">
        <f t="shared" si="5"/>
        <v>0</v>
      </c>
      <c r="AA43" s="675">
        <f t="shared" si="5"/>
        <v>0</v>
      </c>
      <c r="AB43" s="675">
        <f t="shared" si="5"/>
        <v>0</v>
      </c>
      <c r="AC43" s="675">
        <f t="shared" si="5"/>
        <v>0</v>
      </c>
      <c r="AD43" s="675">
        <f t="shared" si="5"/>
        <v>0</v>
      </c>
      <c r="AE43" s="675">
        <f t="shared" si="5"/>
        <v>0</v>
      </c>
      <c r="AF43" s="675">
        <f t="shared" si="5"/>
        <v>0</v>
      </c>
      <c r="AG43" s="675">
        <f t="shared" si="5"/>
        <v>0</v>
      </c>
      <c r="AH43" s="675">
        <f t="shared" si="5"/>
        <v>0</v>
      </c>
      <c r="AI43" s="675">
        <f t="shared" si="5"/>
        <v>0</v>
      </c>
      <c r="AJ43" s="675">
        <f t="shared" si="5"/>
        <v>0</v>
      </c>
      <c r="AK43" s="675">
        <f t="shared" si="5"/>
        <v>0</v>
      </c>
      <c r="AL43" s="675">
        <f t="shared" si="5"/>
        <v>0</v>
      </c>
      <c r="AM43" s="675">
        <f t="shared" si="5"/>
        <v>0</v>
      </c>
      <c r="AN43" s="675">
        <f t="shared" si="5"/>
        <v>0</v>
      </c>
      <c r="AO43" s="675">
        <f t="shared" si="5"/>
        <v>0</v>
      </c>
      <c r="AP43" s="675">
        <f t="shared" si="5"/>
        <v>0</v>
      </c>
      <c r="AQ43" s="675">
        <f t="shared" si="5"/>
        <v>0</v>
      </c>
      <c r="AR43" s="675">
        <f t="shared" si="5"/>
        <v>0</v>
      </c>
      <c r="AS43" s="675">
        <f t="shared" si="5"/>
        <v>0</v>
      </c>
      <c r="AT43" s="675">
        <f t="shared" si="5"/>
        <v>0</v>
      </c>
      <c r="AU43" s="675">
        <f t="shared" si="5"/>
        <v>0</v>
      </c>
      <c r="AV43" s="676">
        <f t="shared" si="5"/>
        <v>0</v>
      </c>
    </row>
    <row r="44" spans="1:48" s="15" customFormat="1" ht="13.5" outlineLevel="1" x14ac:dyDescent="0.25">
      <c r="B44" s="689" t="s">
        <v>1271</v>
      </c>
      <c r="C44" s="815"/>
      <c r="D44" s="686"/>
      <c r="E44" s="686"/>
      <c r="F44" s="686"/>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6"/>
      <c r="AH44" s="686"/>
      <c r="AI44" s="686"/>
      <c r="AJ44" s="686"/>
      <c r="AK44" s="686"/>
      <c r="AL44" s="686"/>
      <c r="AM44" s="686"/>
      <c r="AN44" s="686"/>
      <c r="AO44" s="686"/>
      <c r="AP44" s="686"/>
      <c r="AQ44" s="686"/>
      <c r="AR44" s="686"/>
      <c r="AS44" s="686"/>
      <c r="AT44" s="686"/>
      <c r="AU44" s="686"/>
      <c r="AV44" s="687"/>
    </row>
    <row r="45" spans="1:48" s="15" customFormat="1" ht="13.5" outlineLevel="1" x14ac:dyDescent="0.25">
      <c r="B45" s="671" t="s">
        <v>1345</v>
      </c>
      <c r="C45" s="679" t="s">
        <v>1243</v>
      </c>
      <c r="D45" s="682">
        <f t="shared" ref="D45:AV45" si="6">(D40*$F$8*$G$8/$D$8+D41*$F$9*$G$9/$D$9+D42*$F$10*$G$10/$D$10+D43*$F$11*$G$11/$D$11)</f>
        <v>0</v>
      </c>
      <c r="E45" s="682">
        <f t="shared" si="6"/>
        <v>0</v>
      </c>
      <c r="F45" s="682">
        <f t="shared" si="6"/>
        <v>5000</v>
      </c>
      <c r="G45" s="682">
        <f t="shared" si="6"/>
        <v>5000</v>
      </c>
      <c r="H45" s="682">
        <f t="shared" si="6"/>
        <v>5000</v>
      </c>
      <c r="I45" s="682">
        <f t="shared" si="6"/>
        <v>5000</v>
      </c>
      <c r="J45" s="682">
        <f t="shared" si="6"/>
        <v>5000</v>
      </c>
      <c r="K45" s="682">
        <f t="shared" si="6"/>
        <v>5000</v>
      </c>
      <c r="L45" s="682">
        <f t="shared" si="6"/>
        <v>5000</v>
      </c>
      <c r="M45" s="682">
        <f t="shared" si="6"/>
        <v>5000</v>
      </c>
      <c r="N45" s="682">
        <f t="shared" si="6"/>
        <v>0</v>
      </c>
      <c r="O45" s="682">
        <f t="shared" si="6"/>
        <v>0</v>
      </c>
      <c r="P45" s="682">
        <f t="shared" si="6"/>
        <v>0</v>
      </c>
      <c r="Q45" s="682">
        <f t="shared" si="6"/>
        <v>0</v>
      </c>
      <c r="R45" s="682">
        <f t="shared" si="6"/>
        <v>0</v>
      </c>
      <c r="S45" s="682">
        <f t="shared" si="6"/>
        <v>0</v>
      </c>
      <c r="T45" s="682">
        <f t="shared" si="6"/>
        <v>0</v>
      </c>
      <c r="U45" s="682">
        <f t="shared" si="6"/>
        <v>0</v>
      </c>
      <c r="V45" s="682">
        <f t="shared" si="6"/>
        <v>0</v>
      </c>
      <c r="W45" s="682">
        <f t="shared" si="6"/>
        <v>0</v>
      </c>
      <c r="X45" s="682">
        <f t="shared" si="6"/>
        <v>0</v>
      </c>
      <c r="Y45" s="682">
        <f t="shared" si="6"/>
        <v>0</v>
      </c>
      <c r="Z45" s="682">
        <f t="shared" si="6"/>
        <v>0</v>
      </c>
      <c r="AA45" s="682">
        <f t="shared" si="6"/>
        <v>0</v>
      </c>
      <c r="AB45" s="682">
        <f t="shared" si="6"/>
        <v>0</v>
      </c>
      <c r="AC45" s="682">
        <f t="shared" si="6"/>
        <v>0</v>
      </c>
      <c r="AD45" s="682">
        <f t="shared" si="6"/>
        <v>0</v>
      </c>
      <c r="AE45" s="682">
        <f t="shared" si="6"/>
        <v>0</v>
      </c>
      <c r="AF45" s="682">
        <f t="shared" si="6"/>
        <v>0</v>
      </c>
      <c r="AG45" s="682">
        <f t="shared" si="6"/>
        <v>0</v>
      </c>
      <c r="AH45" s="682">
        <f t="shared" si="6"/>
        <v>0</v>
      </c>
      <c r="AI45" s="682">
        <f t="shared" si="6"/>
        <v>0</v>
      </c>
      <c r="AJ45" s="682">
        <f t="shared" si="6"/>
        <v>0</v>
      </c>
      <c r="AK45" s="682">
        <f t="shared" si="6"/>
        <v>0</v>
      </c>
      <c r="AL45" s="682">
        <f t="shared" si="6"/>
        <v>0</v>
      </c>
      <c r="AM45" s="682">
        <f t="shared" si="6"/>
        <v>0</v>
      </c>
      <c r="AN45" s="682">
        <f t="shared" si="6"/>
        <v>0</v>
      </c>
      <c r="AO45" s="682">
        <f t="shared" si="6"/>
        <v>0</v>
      </c>
      <c r="AP45" s="682">
        <f t="shared" si="6"/>
        <v>0</v>
      </c>
      <c r="AQ45" s="682">
        <f t="shared" si="6"/>
        <v>0</v>
      </c>
      <c r="AR45" s="682">
        <f t="shared" si="6"/>
        <v>0</v>
      </c>
      <c r="AS45" s="682">
        <f t="shared" si="6"/>
        <v>0</v>
      </c>
      <c r="AT45" s="682">
        <f t="shared" si="6"/>
        <v>0</v>
      </c>
      <c r="AU45" s="682">
        <f t="shared" si="6"/>
        <v>0</v>
      </c>
      <c r="AV45" s="428">
        <f t="shared" si="6"/>
        <v>0</v>
      </c>
    </row>
    <row r="46" spans="1:48" s="15" customFormat="1" ht="13.5" outlineLevel="1" x14ac:dyDescent="0.25">
      <c r="B46" s="671" t="s">
        <v>1347</v>
      </c>
      <c r="C46" s="679" t="s">
        <v>1243</v>
      </c>
      <c r="D46" s="682">
        <f>-(D56*$C$15+D58*$C$16)*(1+$C$17)</f>
        <v>0</v>
      </c>
      <c r="E46" s="682">
        <f t="shared" ref="E46:AV46" si="7">-(E56*$C$15+E58*$C$16)*(1+$C$17)</f>
        <v>0</v>
      </c>
      <c r="F46" s="682">
        <f t="shared" si="7"/>
        <v>0</v>
      </c>
      <c r="G46" s="682">
        <f t="shared" si="7"/>
        <v>0</v>
      </c>
      <c r="H46" s="682">
        <f t="shared" si="7"/>
        <v>0</v>
      </c>
      <c r="I46" s="682">
        <f t="shared" si="7"/>
        <v>-5329.4017764934661</v>
      </c>
      <c r="J46" s="682">
        <f t="shared" si="7"/>
        <v>-5071.4240928173622</v>
      </c>
      <c r="K46" s="682">
        <f t="shared" si="7"/>
        <v>-4820.6464124122122</v>
      </c>
      <c r="L46" s="682">
        <f t="shared" si="7"/>
        <v>-4576.9553893829634</v>
      </c>
      <c r="M46" s="682">
        <f t="shared" si="7"/>
        <v>-4340.2390570436974</v>
      </c>
      <c r="N46" s="682">
        <f t="shared" si="7"/>
        <v>-16259.519780019626</v>
      </c>
      <c r="O46" s="682">
        <f t="shared" si="7"/>
        <v>-15893.881562254228</v>
      </c>
      <c r="P46" s="682">
        <f t="shared" si="7"/>
        <v>-15540.404131010931</v>
      </c>
      <c r="Q46" s="682">
        <f t="shared" si="7"/>
        <v>-15198.828287363958</v>
      </c>
      <c r="R46" s="682">
        <f t="shared" si="7"/>
        <v>-14868.899807003076</v>
      </c>
      <c r="S46" s="682">
        <f t="shared" si="7"/>
        <v>-14550.369347810716</v>
      </c>
      <c r="T46" s="682">
        <f t="shared" si="7"/>
        <v>-14242.992359137175</v>
      </c>
      <c r="U46" s="682">
        <f t="shared" si="7"/>
        <v>-13946.528992742633</v>
      </c>
      <c r="V46" s="682">
        <f t="shared" si="7"/>
        <v>-13660.744015375587</v>
      </c>
      <c r="W46" s="682">
        <f t="shared" si="7"/>
        <v>-13385.406722957701</v>
      </c>
      <c r="X46" s="682">
        <f t="shared" si="7"/>
        <v>-13120.290856345668</v>
      </c>
      <c r="Y46" s="682">
        <f t="shared" si="7"/>
        <v>-12865.174518641179</v>
      </c>
      <c r="Z46" s="682">
        <f t="shared" si="7"/>
        <v>-12619.840094020756</v>
      </c>
      <c r="AA46" s="682">
        <f t="shared" si="7"/>
        <v>-12384.074168057479</v>
      </c>
      <c r="AB46" s="682">
        <f t="shared" si="7"/>
        <v>-12157.667449507418</v>
      </c>
      <c r="AC46" s="682">
        <f t="shared" si="7"/>
        <v>-12050.641222586893</v>
      </c>
      <c r="AD46" s="682">
        <f t="shared" si="7"/>
        <v>-11943.631180983206</v>
      </c>
      <c r="AE46" s="682">
        <f t="shared" si="7"/>
        <v>-11836.635561362662</v>
      </c>
      <c r="AF46" s="682">
        <f t="shared" si="7"/>
        <v>-11729.65261667177</v>
      </c>
      <c r="AG46" s="682">
        <f t="shared" si="7"/>
        <v>-11622.68061602419</v>
      </c>
      <c r="AH46" s="682">
        <f t="shared" si="7"/>
        <v>-11515.71784458834</v>
      </c>
      <c r="AI46" s="682">
        <f t="shared" si="7"/>
        <v>-11408.762603475738</v>
      </c>
      <c r="AJ46" s="682">
        <f t="shared" si="7"/>
        <v>-11301.813209630029</v>
      </c>
      <c r="AK46" s="682">
        <f t="shared" si="7"/>
        <v>-11194.867995716697</v>
      </c>
      <c r="AL46" s="682">
        <f t="shared" si="7"/>
        <v>-11087.925310013487</v>
      </c>
      <c r="AM46" s="682">
        <f t="shared" si="7"/>
        <v>-10980.98351630148</v>
      </c>
      <c r="AN46" s="682">
        <f t="shared" si="7"/>
        <v>-10874.040993756886</v>
      </c>
      <c r="AO46" s="682">
        <f t="shared" si="7"/>
        <v>-10767.096136843467</v>
      </c>
      <c r="AP46" s="682">
        <f t="shared" si="7"/>
        <v>-10660.147355205687</v>
      </c>
      <c r="AQ46" s="682">
        <f t="shared" si="7"/>
        <v>-10553.193073562477</v>
      </c>
      <c r="AR46" s="682">
        <f t="shared" si="7"/>
        <v>-10446.231731601705</v>
      </c>
      <c r="AS46" s="682">
        <f t="shared" si="7"/>
        <v>-10339.261783875278</v>
      </c>
      <c r="AT46" s="682">
        <f t="shared" si="7"/>
        <v>-10232.281699694926</v>
      </c>
      <c r="AU46" s="682">
        <f t="shared" si="7"/>
        <v>-10125.289963028617</v>
      </c>
      <c r="AV46" s="428">
        <f t="shared" si="7"/>
        <v>-10018.285072397619</v>
      </c>
    </row>
    <row r="47" spans="1:48" s="39" customFormat="1" ht="13.5" outlineLevel="1" x14ac:dyDescent="0.25">
      <c r="B47" s="689" t="s">
        <v>1114</v>
      </c>
      <c r="C47" s="693" t="s">
        <v>1243</v>
      </c>
      <c r="D47" s="710">
        <f>D45+D46</f>
        <v>0</v>
      </c>
      <c r="E47" s="710">
        <f t="shared" ref="E47:AV47" si="8">E45+E46</f>
        <v>0</v>
      </c>
      <c r="F47" s="710">
        <f t="shared" si="8"/>
        <v>5000</v>
      </c>
      <c r="G47" s="710">
        <f t="shared" si="8"/>
        <v>5000</v>
      </c>
      <c r="H47" s="710">
        <f t="shared" si="8"/>
        <v>5000</v>
      </c>
      <c r="I47" s="710">
        <f t="shared" si="8"/>
        <v>-329.40177649346606</v>
      </c>
      <c r="J47" s="710">
        <f t="shared" si="8"/>
        <v>-71.42409281736218</v>
      </c>
      <c r="K47" s="710">
        <f t="shared" si="8"/>
        <v>179.35358758778784</v>
      </c>
      <c r="L47" s="710">
        <f t="shared" si="8"/>
        <v>423.0446106170366</v>
      </c>
      <c r="M47" s="710">
        <f t="shared" si="8"/>
        <v>659.76094295630264</v>
      </c>
      <c r="N47" s="710">
        <f t="shared" si="8"/>
        <v>-16259.519780019626</v>
      </c>
      <c r="O47" s="710">
        <f t="shared" si="8"/>
        <v>-15893.881562254228</v>
      </c>
      <c r="P47" s="710">
        <f t="shared" si="8"/>
        <v>-15540.404131010931</v>
      </c>
      <c r="Q47" s="710">
        <f t="shared" si="8"/>
        <v>-15198.828287363958</v>
      </c>
      <c r="R47" s="710">
        <f t="shared" si="8"/>
        <v>-14868.899807003076</v>
      </c>
      <c r="S47" s="710">
        <f t="shared" si="8"/>
        <v>-14550.369347810716</v>
      </c>
      <c r="T47" s="710">
        <f t="shared" si="8"/>
        <v>-14242.992359137175</v>
      </c>
      <c r="U47" s="710">
        <f t="shared" si="8"/>
        <v>-13946.528992742633</v>
      </c>
      <c r="V47" s="710">
        <f t="shared" si="8"/>
        <v>-13660.744015375587</v>
      </c>
      <c r="W47" s="710">
        <f t="shared" si="8"/>
        <v>-13385.406722957701</v>
      </c>
      <c r="X47" s="710">
        <f t="shared" si="8"/>
        <v>-13120.290856345668</v>
      </c>
      <c r="Y47" s="710">
        <f t="shared" si="8"/>
        <v>-12865.174518641179</v>
      </c>
      <c r="Z47" s="710">
        <f t="shared" si="8"/>
        <v>-12619.840094020756</v>
      </c>
      <c r="AA47" s="710">
        <f t="shared" si="8"/>
        <v>-12384.074168057479</v>
      </c>
      <c r="AB47" s="710">
        <f t="shared" si="8"/>
        <v>-12157.667449507418</v>
      </c>
      <c r="AC47" s="710">
        <f t="shared" si="8"/>
        <v>-12050.641222586893</v>
      </c>
      <c r="AD47" s="710">
        <f t="shared" si="8"/>
        <v>-11943.631180983206</v>
      </c>
      <c r="AE47" s="710">
        <f t="shared" si="8"/>
        <v>-11836.635561362662</v>
      </c>
      <c r="AF47" s="710">
        <f t="shared" si="8"/>
        <v>-11729.65261667177</v>
      </c>
      <c r="AG47" s="710">
        <f t="shared" si="8"/>
        <v>-11622.68061602419</v>
      </c>
      <c r="AH47" s="710">
        <f t="shared" si="8"/>
        <v>-11515.71784458834</v>
      </c>
      <c r="AI47" s="710">
        <f t="shared" si="8"/>
        <v>-11408.762603475738</v>
      </c>
      <c r="AJ47" s="710">
        <f t="shared" si="8"/>
        <v>-11301.813209630029</v>
      </c>
      <c r="AK47" s="710">
        <f t="shared" si="8"/>
        <v>-11194.867995716697</v>
      </c>
      <c r="AL47" s="710">
        <f t="shared" si="8"/>
        <v>-11087.925310013487</v>
      </c>
      <c r="AM47" s="710">
        <f t="shared" si="8"/>
        <v>-10980.98351630148</v>
      </c>
      <c r="AN47" s="710">
        <f t="shared" si="8"/>
        <v>-10874.040993756886</v>
      </c>
      <c r="AO47" s="710">
        <f t="shared" si="8"/>
        <v>-10767.096136843467</v>
      </c>
      <c r="AP47" s="710">
        <f t="shared" si="8"/>
        <v>-10660.147355205687</v>
      </c>
      <c r="AQ47" s="710">
        <f t="shared" si="8"/>
        <v>-10553.193073562477</v>
      </c>
      <c r="AR47" s="710">
        <f t="shared" si="8"/>
        <v>-10446.231731601705</v>
      </c>
      <c r="AS47" s="710">
        <f t="shared" si="8"/>
        <v>-10339.261783875278</v>
      </c>
      <c r="AT47" s="710">
        <f t="shared" si="8"/>
        <v>-10232.281699694926</v>
      </c>
      <c r="AU47" s="710">
        <f t="shared" si="8"/>
        <v>-10125.289963028617</v>
      </c>
      <c r="AV47" s="426">
        <f t="shared" si="8"/>
        <v>-10018.285072397619</v>
      </c>
    </row>
    <row r="48" spans="1:48" s="15" customFormat="1" ht="13.5" outlineLevel="1" x14ac:dyDescent="0.25">
      <c r="B48" s="671" t="s">
        <v>1417</v>
      </c>
      <c r="C48" s="679" t="s">
        <v>639</v>
      </c>
      <c r="D48" s="834">
        <f t="shared" ref="D48:AV48" si="9">IF(D38&gt;$E$8,$H$8,0)+IF(D38&gt;$E$9,$H$9,0)+IF(D38&gt;$E$10,$H$10,0)+IF(D38&gt;$E$11,$H$11,0)</f>
        <v>0</v>
      </c>
      <c r="E48" s="834">
        <f t="shared" si="9"/>
        <v>0</v>
      </c>
      <c r="F48" s="834">
        <f t="shared" si="9"/>
        <v>0</v>
      </c>
      <c r="G48" s="834">
        <f t="shared" si="9"/>
        <v>0</v>
      </c>
      <c r="H48" s="834">
        <f t="shared" si="9"/>
        <v>0</v>
      </c>
      <c r="I48" s="834">
        <f t="shared" si="9"/>
        <v>0.05</v>
      </c>
      <c r="J48" s="834">
        <f t="shared" si="9"/>
        <v>0.05</v>
      </c>
      <c r="K48" s="834">
        <f t="shared" si="9"/>
        <v>0.05</v>
      </c>
      <c r="L48" s="834">
        <f t="shared" si="9"/>
        <v>0.05</v>
      </c>
      <c r="M48" s="834">
        <f t="shared" si="9"/>
        <v>0.05</v>
      </c>
      <c r="N48" s="834">
        <f t="shared" si="9"/>
        <v>0.12000000000000001</v>
      </c>
      <c r="O48" s="834">
        <f t="shared" si="9"/>
        <v>0.12000000000000001</v>
      </c>
      <c r="P48" s="834">
        <f t="shared" si="9"/>
        <v>0.12000000000000001</v>
      </c>
      <c r="Q48" s="834">
        <f t="shared" si="9"/>
        <v>0.12000000000000001</v>
      </c>
      <c r="R48" s="834">
        <f t="shared" si="9"/>
        <v>0.12000000000000001</v>
      </c>
      <c r="S48" s="834">
        <f t="shared" si="9"/>
        <v>0.12000000000000001</v>
      </c>
      <c r="T48" s="834">
        <f t="shared" si="9"/>
        <v>0.12000000000000001</v>
      </c>
      <c r="U48" s="834">
        <f t="shared" si="9"/>
        <v>0.12000000000000001</v>
      </c>
      <c r="V48" s="834">
        <f t="shared" si="9"/>
        <v>0.12000000000000001</v>
      </c>
      <c r="W48" s="834">
        <f t="shared" si="9"/>
        <v>0.12000000000000001</v>
      </c>
      <c r="X48" s="834">
        <f t="shared" si="9"/>
        <v>0.12000000000000001</v>
      </c>
      <c r="Y48" s="834">
        <f t="shared" si="9"/>
        <v>0.12000000000000001</v>
      </c>
      <c r="Z48" s="834">
        <f t="shared" si="9"/>
        <v>0.12000000000000001</v>
      </c>
      <c r="AA48" s="834">
        <f t="shared" si="9"/>
        <v>0.12000000000000001</v>
      </c>
      <c r="AB48" s="834">
        <f t="shared" si="9"/>
        <v>0.12000000000000001</v>
      </c>
      <c r="AC48" s="834">
        <f t="shared" si="9"/>
        <v>0.12000000000000001</v>
      </c>
      <c r="AD48" s="834">
        <f t="shared" si="9"/>
        <v>0.12000000000000001</v>
      </c>
      <c r="AE48" s="834">
        <f t="shared" si="9"/>
        <v>0.12000000000000001</v>
      </c>
      <c r="AF48" s="834">
        <f t="shared" si="9"/>
        <v>0.12000000000000001</v>
      </c>
      <c r="AG48" s="834">
        <f t="shared" si="9"/>
        <v>0.12000000000000001</v>
      </c>
      <c r="AH48" s="834">
        <f t="shared" si="9"/>
        <v>0.12000000000000001</v>
      </c>
      <c r="AI48" s="834">
        <f t="shared" si="9"/>
        <v>0.12000000000000001</v>
      </c>
      <c r="AJ48" s="834">
        <f t="shared" si="9"/>
        <v>0.12000000000000001</v>
      </c>
      <c r="AK48" s="834">
        <f t="shared" si="9"/>
        <v>0.12000000000000001</v>
      </c>
      <c r="AL48" s="834">
        <f t="shared" si="9"/>
        <v>0.12000000000000001</v>
      </c>
      <c r="AM48" s="834">
        <f t="shared" si="9"/>
        <v>0.12000000000000001</v>
      </c>
      <c r="AN48" s="834">
        <f t="shared" si="9"/>
        <v>0.12000000000000001</v>
      </c>
      <c r="AO48" s="834">
        <f t="shared" si="9"/>
        <v>0.12000000000000001</v>
      </c>
      <c r="AP48" s="834">
        <f t="shared" si="9"/>
        <v>0.12000000000000001</v>
      </c>
      <c r="AQ48" s="834">
        <f t="shared" si="9"/>
        <v>0.12000000000000001</v>
      </c>
      <c r="AR48" s="834">
        <f t="shared" si="9"/>
        <v>0.12000000000000001</v>
      </c>
      <c r="AS48" s="834">
        <f t="shared" si="9"/>
        <v>0.12000000000000001</v>
      </c>
      <c r="AT48" s="834">
        <f t="shared" si="9"/>
        <v>0.12000000000000001</v>
      </c>
      <c r="AU48" s="834">
        <f t="shared" si="9"/>
        <v>0.12000000000000001</v>
      </c>
      <c r="AV48" s="835">
        <f t="shared" si="9"/>
        <v>0.12000000000000001</v>
      </c>
    </row>
    <row r="49" spans="2:48" s="15" customFormat="1" ht="13.5" outlineLevel="1" x14ac:dyDescent="0.25">
      <c r="B49" s="671" t="s">
        <v>1418</v>
      </c>
      <c r="C49" s="679" t="s">
        <v>1398</v>
      </c>
      <c r="D49" s="677">
        <f>SISENDID!$G$285*D48</f>
        <v>0</v>
      </c>
      <c r="E49" s="677">
        <f>SISENDID!$G$285*E48</f>
        <v>0</v>
      </c>
      <c r="F49" s="677">
        <f>SISENDID!$G$285*F48</f>
        <v>0</v>
      </c>
      <c r="G49" s="677">
        <f>SISENDID!$G$285*G48</f>
        <v>0</v>
      </c>
      <c r="H49" s="677">
        <f>SISENDID!$G$285*H48</f>
        <v>0</v>
      </c>
      <c r="I49" s="677">
        <f>SISENDID!$G$285*I48</f>
        <v>18.352941176470587</v>
      </c>
      <c r="J49" s="677">
        <f>SISENDID!$G$285*J48</f>
        <v>18.352941176470587</v>
      </c>
      <c r="K49" s="677">
        <f>SISENDID!$G$285*K48</f>
        <v>18.352941176470587</v>
      </c>
      <c r="L49" s="677">
        <f>SISENDID!$G$285*L48</f>
        <v>18.352941176470587</v>
      </c>
      <c r="M49" s="677">
        <f>SISENDID!$G$285*M48</f>
        <v>18.352941176470587</v>
      </c>
      <c r="N49" s="677">
        <f>SISENDID!$G$285*N48</f>
        <v>44.047058823529412</v>
      </c>
      <c r="O49" s="677">
        <f>SISENDID!$G$285*O48</f>
        <v>44.047058823529412</v>
      </c>
      <c r="P49" s="677">
        <f>SISENDID!$G$285*P48</f>
        <v>44.047058823529412</v>
      </c>
      <c r="Q49" s="677">
        <f>SISENDID!$G$285*Q48</f>
        <v>44.047058823529412</v>
      </c>
      <c r="R49" s="677">
        <f>SISENDID!$G$285*R48</f>
        <v>44.047058823529412</v>
      </c>
      <c r="S49" s="677">
        <f>SISENDID!$G$285*S48</f>
        <v>44.047058823529412</v>
      </c>
      <c r="T49" s="677">
        <f>SISENDID!$G$285*T48</f>
        <v>44.047058823529412</v>
      </c>
      <c r="U49" s="677">
        <f>SISENDID!$G$285*U48</f>
        <v>44.047058823529412</v>
      </c>
      <c r="V49" s="677">
        <f>SISENDID!$G$285*V48</f>
        <v>44.047058823529412</v>
      </c>
      <c r="W49" s="677">
        <f>SISENDID!$G$285*W48</f>
        <v>44.047058823529412</v>
      </c>
      <c r="X49" s="677">
        <f>SISENDID!$G$285*X48</f>
        <v>44.047058823529412</v>
      </c>
      <c r="Y49" s="677">
        <f>SISENDID!$G$285*Y48</f>
        <v>44.047058823529412</v>
      </c>
      <c r="Z49" s="677">
        <f>SISENDID!$G$285*Z48</f>
        <v>44.047058823529412</v>
      </c>
      <c r="AA49" s="677">
        <f>SISENDID!$G$285*AA48</f>
        <v>44.047058823529412</v>
      </c>
      <c r="AB49" s="677">
        <f>SISENDID!$G$285*AB48</f>
        <v>44.047058823529412</v>
      </c>
      <c r="AC49" s="677">
        <f>SISENDID!$G$285*AC48</f>
        <v>44.047058823529412</v>
      </c>
      <c r="AD49" s="677">
        <f>SISENDID!$G$285*AD48</f>
        <v>44.047058823529412</v>
      </c>
      <c r="AE49" s="677">
        <f>SISENDID!$G$285*AE48</f>
        <v>44.047058823529412</v>
      </c>
      <c r="AF49" s="677">
        <f>SISENDID!$G$285*AF48</f>
        <v>44.047058823529412</v>
      </c>
      <c r="AG49" s="677">
        <f>SISENDID!$G$285*AG48</f>
        <v>44.047058823529412</v>
      </c>
      <c r="AH49" s="677">
        <f>SISENDID!$G$285*AH48</f>
        <v>44.047058823529412</v>
      </c>
      <c r="AI49" s="677">
        <f>SISENDID!$G$285*AI48</f>
        <v>44.047058823529412</v>
      </c>
      <c r="AJ49" s="677">
        <f>SISENDID!$G$285*AJ48</f>
        <v>44.047058823529412</v>
      </c>
      <c r="AK49" s="677">
        <f>SISENDID!$G$285*AK48</f>
        <v>44.047058823529412</v>
      </c>
      <c r="AL49" s="677">
        <f>SISENDID!$G$285*AL48</f>
        <v>44.047058823529412</v>
      </c>
      <c r="AM49" s="677">
        <f>SISENDID!$G$285*AM48</f>
        <v>44.047058823529412</v>
      </c>
      <c r="AN49" s="677">
        <f>SISENDID!$G$285*AN48</f>
        <v>44.047058823529412</v>
      </c>
      <c r="AO49" s="677">
        <f>SISENDID!$G$285*AO48</f>
        <v>44.047058823529412</v>
      </c>
      <c r="AP49" s="677">
        <f>SISENDID!$G$285*AP48</f>
        <v>44.047058823529412</v>
      </c>
      <c r="AQ49" s="677">
        <f>SISENDID!$G$285*AQ48</f>
        <v>44.047058823529412</v>
      </c>
      <c r="AR49" s="677">
        <f>SISENDID!$G$285*AR48</f>
        <v>44.047058823529412</v>
      </c>
      <c r="AS49" s="677">
        <f>SISENDID!$G$285*AS48</f>
        <v>44.047058823529412</v>
      </c>
      <c r="AT49" s="677">
        <f>SISENDID!$G$285*AT48</f>
        <v>44.047058823529412</v>
      </c>
      <c r="AU49" s="677">
        <f>SISENDID!$G$285*AU48</f>
        <v>44.047058823529412</v>
      </c>
      <c r="AV49" s="819">
        <f>SISENDID!$G$285*AV48</f>
        <v>44.047058823529412</v>
      </c>
    </row>
    <row r="50" spans="2:48" s="15" customFormat="1" ht="13.5" outlineLevel="1" x14ac:dyDescent="0.25">
      <c r="B50" s="671" t="s">
        <v>1419</v>
      </c>
      <c r="C50" s="679" t="s">
        <v>639</v>
      </c>
      <c r="D50" s="834">
        <f t="shared" ref="D50:AV50" si="10">IF(D38&gt;$E$8,$I$8,0)+IF(D38&gt;$E$9,$I$9,0)+IF(D38&gt;$E$10,$I$10,0)+IF(D38&gt;$E$11,$I$11,0)</f>
        <v>0</v>
      </c>
      <c r="E50" s="834">
        <f t="shared" si="10"/>
        <v>0</v>
      </c>
      <c r="F50" s="834">
        <f t="shared" si="10"/>
        <v>0</v>
      </c>
      <c r="G50" s="834">
        <f t="shared" si="10"/>
        <v>0</v>
      </c>
      <c r="H50" s="834">
        <f t="shared" si="10"/>
        <v>0</v>
      </c>
      <c r="I50" s="834">
        <f t="shared" si="10"/>
        <v>0.01</v>
      </c>
      <c r="J50" s="834">
        <f t="shared" si="10"/>
        <v>0.01</v>
      </c>
      <c r="K50" s="834">
        <f t="shared" si="10"/>
        <v>0.01</v>
      </c>
      <c r="L50" s="834">
        <f t="shared" si="10"/>
        <v>0.01</v>
      </c>
      <c r="M50" s="834">
        <f t="shared" si="10"/>
        <v>0.01</v>
      </c>
      <c r="N50" s="834">
        <f t="shared" si="10"/>
        <v>6.0000000000000005E-2</v>
      </c>
      <c r="O50" s="834">
        <f t="shared" si="10"/>
        <v>6.0000000000000005E-2</v>
      </c>
      <c r="P50" s="834">
        <f t="shared" si="10"/>
        <v>6.0000000000000005E-2</v>
      </c>
      <c r="Q50" s="834">
        <f t="shared" si="10"/>
        <v>6.0000000000000005E-2</v>
      </c>
      <c r="R50" s="834">
        <f t="shared" si="10"/>
        <v>6.0000000000000005E-2</v>
      </c>
      <c r="S50" s="834">
        <f t="shared" si="10"/>
        <v>6.0000000000000005E-2</v>
      </c>
      <c r="T50" s="834">
        <f t="shared" si="10"/>
        <v>6.0000000000000005E-2</v>
      </c>
      <c r="U50" s="834">
        <f t="shared" si="10"/>
        <v>6.0000000000000005E-2</v>
      </c>
      <c r="V50" s="834">
        <f t="shared" si="10"/>
        <v>6.0000000000000005E-2</v>
      </c>
      <c r="W50" s="834">
        <f t="shared" si="10"/>
        <v>6.0000000000000005E-2</v>
      </c>
      <c r="X50" s="834">
        <f t="shared" si="10"/>
        <v>6.0000000000000005E-2</v>
      </c>
      <c r="Y50" s="834">
        <f t="shared" si="10"/>
        <v>6.0000000000000005E-2</v>
      </c>
      <c r="Z50" s="834">
        <f t="shared" si="10"/>
        <v>6.0000000000000005E-2</v>
      </c>
      <c r="AA50" s="834">
        <f t="shared" si="10"/>
        <v>6.0000000000000005E-2</v>
      </c>
      <c r="AB50" s="834">
        <f t="shared" si="10"/>
        <v>6.0000000000000005E-2</v>
      </c>
      <c r="AC50" s="834">
        <f t="shared" si="10"/>
        <v>6.0000000000000005E-2</v>
      </c>
      <c r="AD50" s="834">
        <f t="shared" si="10"/>
        <v>6.0000000000000005E-2</v>
      </c>
      <c r="AE50" s="834">
        <f t="shared" si="10"/>
        <v>6.0000000000000005E-2</v>
      </c>
      <c r="AF50" s="834">
        <f t="shared" si="10"/>
        <v>6.0000000000000005E-2</v>
      </c>
      <c r="AG50" s="834">
        <f t="shared" si="10"/>
        <v>6.0000000000000005E-2</v>
      </c>
      <c r="AH50" s="834">
        <f t="shared" si="10"/>
        <v>6.0000000000000005E-2</v>
      </c>
      <c r="AI50" s="834">
        <f t="shared" si="10"/>
        <v>6.0000000000000005E-2</v>
      </c>
      <c r="AJ50" s="834">
        <f t="shared" si="10"/>
        <v>6.0000000000000005E-2</v>
      </c>
      <c r="AK50" s="834">
        <f t="shared" si="10"/>
        <v>6.0000000000000005E-2</v>
      </c>
      <c r="AL50" s="834">
        <f t="shared" si="10"/>
        <v>6.0000000000000005E-2</v>
      </c>
      <c r="AM50" s="834">
        <f t="shared" si="10"/>
        <v>6.0000000000000005E-2</v>
      </c>
      <c r="AN50" s="834">
        <f t="shared" si="10"/>
        <v>6.0000000000000005E-2</v>
      </c>
      <c r="AO50" s="834">
        <f t="shared" si="10"/>
        <v>6.0000000000000005E-2</v>
      </c>
      <c r="AP50" s="834">
        <f t="shared" si="10"/>
        <v>6.0000000000000005E-2</v>
      </c>
      <c r="AQ50" s="834">
        <f t="shared" si="10"/>
        <v>6.0000000000000005E-2</v>
      </c>
      <c r="AR50" s="834">
        <f t="shared" si="10"/>
        <v>6.0000000000000005E-2</v>
      </c>
      <c r="AS50" s="834">
        <f t="shared" si="10"/>
        <v>6.0000000000000005E-2</v>
      </c>
      <c r="AT50" s="834">
        <f t="shared" si="10"/>
        <v>6.0000000000000005E-2</v>
      </c>
      <c r="AU50" s="834">
        <f t="shared" si="10"/>
        <v>6.0000000000000005E-2</v>
      </c>
      <c r="AV50" s="835">
        <f t="shared" si="10"/>
        <v>6.0000000000000005E-2</v>
      </c>
    </row>
    <row r="51" spans="2:48" s="15" customFormat="1" ht="13.5" outlineLevel="1" x14ac:dyDescent="0.25">
      <c r="B51" s="671" t="s">
        <v>1420</v>
      </c>
      <c r="C51" s="679" t="s">
        <v>1421</v>
      </c>
      <c r="D51" s="677">
        <f>SISENDID!$G$285*D50</f>
        <v>0</v>
      </c>
      <c r="E51" s="677">
        <f>SISENDID!$G$285*E50</f>
        <v>0</v>
      </c>
      <c r="F51" s="677">
        <f>SISENDID!$G$285*F50</f>
        <v>0</v>
      </c>
      <c r="G51" s="677">
        <f>SISENDID!$G$285*G50</f>
        <v>0</v>
      </c>
      <c r="H51" s="677">
        <f>SISENDID!$G$285*H50</f>
        <v>0</v>
      </c>
      <c r="I51" s="677">
        <f>SISENDID!$G$285*I50</f>
        <v>3.670588235294117</v>
      </c>
      <c r="J51" s="677">
        <f>SISENDID!$G$285*J50</f>
        <v>3.670588235294117</v>
      </c>
      <c r="K51" s="677">
        <f>SISENDID!$G$285*K50</f>
        <v>3.670588235294117</v>
      </c>
      <c r="L51" s="677">
        <f>SISENDID!$G$285*L50</f>
        <v>3.670588235294117</v>
      </c>
      <c r="M51" s="677">
        <f>SISENDID!$G$285*M50</f>
        <v>3.670588235294117</v>
      </c>
      <c r="N51" s="677">
        <f>SISENDID!$G$285*N50</f>
        <v>22.023529411764706</v>
      </c>
      <c r="O51" s="677">
        <f>SISENDID!$G$285*O50</f>
        <v>22.023529411764706</v>
      </c>
      <c r="P51" s="677">
        <f>SISENDID!$G$285*P50</f>
        <v>22.023529411764706</v>
      </c>
      <c r="Q51" s="677">
        <f>SISENDID!$G$285*Q50</f>
        <v>22.023529411764706</v>
      </c>
      <c r="R51" s="677">
        <f>SISENDID!$G$285*R50</f>
        <v>22.023529411764706</v>
      </c>
      <c r="S51" s="677">
        <f>SISENDID!$G$285*S50</f>
        <v>22.023529411764706</v>
      </c>
      <c r="T51" s="677">
        <f>SISENDID!$G$285*T50</f>
        <v>22.023529411764706</v>
      </c>
      <c r="U51" s="677">
        <f>SISENDID!$G$285*U50</f>
        <v>22.023529411764706</v>
      </c>
      <c r="V51" s="677">
        <f>SISENDID!$G$285*V50</f>
        <v>22.023529411764706</v>
      </c>
      <c r="W51" s="677">
        <f>SISENDID!$G$285*W50</f>
        <v>22.023529411764706</v>
      </c>
      <c r="X51" s="677">
        <f>SISENDID!$G$285*X50</f>
        <v>22.023529411764706</v>
      </c>
      <c r="Y51" s="677">
        <f>SISENDID!$G$285*Y50</f>
        <v>22.023529411764706</v>
      </c>
      <c r="Z51" s="677">
        <f>SISENDID!$G$285*Z50</f>
        <v>22.023529411764706</v>
      </c>
      <c r="AA51" s="677">
        <f>SISENDID!$G$285*AA50</f>
        <v>22.023529411764706</v>
      </c>
      <c r="AB51" s="677">
        <f>SISENDID!$G$285*AB50</f>
        <v>22.023529411764706</v>
      </c>
      <c r="AC51" s="677">
        <f>SISENDID!$G$285*AC50</f>
        <v>22.023529411764706</v>
      </c>
      <c r="AD51" s="677">
        <f>SISENDID!$G$285*AD50</f>
        <v>22.023529411764706</v>
      </c>
      <c r="AE51" s="677">
        <f>SISENDID!$G$285*AE50</f>
        <v>22.023529411764706</v>
      </c>
      <c r="AF51" s="677">
        <f>SISENDID!$G$285*AF50</f>
        <v>22.023529411764706</v>
      </c>
      <c r="AG51" s="677">
        <f>SISENDID!$G$285*AG50</f>
        <v>22.023529411764706</v>
      </c>
      <c r="AH51" s="677">
        <f>SISENDID!$G$285*AH50</f>
        <v>22.023529411764706</v>
      </c>
      <c r="AI51" s="677">
        <f>SISENDID!$G$285*AI50</f>
        <v>22.023529411764706</v>
      </c>
      <c r="AJ51" s="677">
        <f>SISENDID!$G$285*AJ50</f>
        <v>22.023529411764706</v>
      </c>
      <c r="AK51" s="677">
        <f>SISENDID!$G$285*AK50</f>
        <v>22.023529411764706</v>
      </c>
      <c r="AL51" s="677">
        <f>SISENDID!$G$285*AL50</f>
        <v>22.023529411764706</v>
      </c>
      <c r="AM51" s="677">
        <f>SISENDID!$G$285*AM50</f>
        <v>22.023529411764706</v>
      </c>
      <c r="AN51" s="677">
        <f>SISENDID!$G$285*AN50</f>
        <v>22.023529411764706</v>
      </c>
      <c r="AO51" s="677">
        <f>SISENDID!$G$285*AO50</f>
        <v>22.023529411764706</v>
      </c>
      <c r="AP51" s="677">
        <f>SISENDID!$G$285*AP50</f>
        <v>22.023529411764706</v>
      </c>
      <c r="AQ51" s="677">
        <f>SISENDID!$G$285*AQ50</f>
        <v>22.023529411764706</v>
      </c>
      <c r="AR51" s="677">
        <f>SISENDID!$G$285*AR50</f>
        <v>22.023529411764706</v>
      </c>
      <c r="AS51" s="677">
        <f>SISENDID!$G$285*AS50</f>
        <v>22.023529411764706</v>
      </c>
      <c r="AT51" s="677">
        <f>SISENDID!$G$285*AT50</f>
        <v>22.023529411764706</v>
      </c>
      <c r="AU51" s="677">
        <f>SISENDID!$G$285*AU50</f>
        <v>22.023529411764706</v>
      </c>
      <c r="AV51" s="819">
        <f>SISENDID!$G$285*AV50</f>
        <v>22.023529411764706</v>
      </c>
    </row>
    <row r="52" spans="2:48" s="15" customFormat="1" ht="13.5" outlineLevel="1" x14ac:dyDescent="0.25">
      <c r="B52" s="671" t="s">
        <v>1422</v>
      </c>
      <c r="C52" s="679" t="s">
        <v>639</v>
      </c>
      <c r="D52" s="834">
        <f>IF(D38&gt;$E$8,$J$8,0)+IF(D38&gt;$E$9,$J$9,0)+IF(D38&gt;$E$10,$J$10,0)+IF(D38&gt;$E$11,$J$11,0)</f>
        <v>0</v>
      </c>
      <c r="E52" s="834">
        <f t="shared" ref="E52:L52" si="11">IF(E38&gt;$E$8,$J$8,0)+IF(E38&gt;$E$9,$J$9,0)+IF(E38&gt;$E$10,$J$10,0)+IF(E38&gt;$E$11,$J$11,0)</f>
        <v>0</v>
      </c>
      <c r="F52" s="834">
        <f t="shared" si="11"/>
        <v>0</v>
      </c>
      <c r="G52" s="834">
        <f t="shared" si="11"/>
        <v>0</v>
      </c>
      <c r="H52" s="834">
        <f t="shared" si="11"/>
        <v>0</v>
      </c>
      <c r="I52" s="834">
        <f t="shared" si="11"/>
        <v>0</v>
      </c>
      <c r="J52" s="834">
        <f t="shared" si="11"/>
        <v>0</v>
      </c>
      <c r="K52" s="834">
        <f t="shared" si="11"/>
        <v>0</v>
      </c>
      <c r="L52" s="834">
        <f t="shared" si="11"/>
        <v>0</v>
      </c>
      <c r="M52" s="834">
        <f t="shared" ref="M52:AV52" si="12">IF(M38&gt;$E$8,$J$8,0)+IF(M38&gt;$E$9,$J$9,0)+IF(M38&gt;$E$10,$J$10,0)+IF(M38&gt;$E$11,$J$11,0)</f>
        <v>0</v>
      </c>
      <c r="N52" s="834">
        <f t="shared" si="12"/>
        <v>0.05</v>
      </c>
      <c r="O52" s="834">
        <f t="shared" si="12"/>
        <v>0.05</v>
      </c>
      <c r="P52" s="834">
        <f t="shared" si="12"/>
        <v>0.05</v>
      </c>
      <c r="Q52" s="834">
        <f t="shared" si="12"/>
        <v>0.05</v>
      </c>
      <c r="R52" s="834">
        <f t="shared" si="12"/>
        <v>0.05</v>
      </c>
      <c r="S52" s="834">
        <f t="shared" si="12"/>
        <v>0.05</v>
      </c>
      <c r="T52" s="834">
        <f t="shared" si="12"/>
        <v>0.05</v>
      </c>
      <c r="U52" s="834">
        <f t="shared" si="12"/>
        <v>0.05</v>
      </c>
      <c r="V52" s="834">
        <f t="shared" si="12"/>
        <v>0.05</v>
      </c>
      <c r="W52" s="834">
        <f t="shared" si="12"/>
        <v>0.05</v>
      </c>
      <c r="X52" s="834">
        <f t="shared" si="12"/>
        <v>0.05</v>
      </c>
      <c r="Y52" s="834">
        <f t="shared" si="12"/>
        <v>0.05</v>
      </c>
      <c r="Z52" s="834">
        <f t="shared" si="12"/>
        <v>0.05</v>
      </c>
      <c r="AA52" s="834">
        <f t="shared" si="12"/>
        <v>0.05</v>
      </c>
      <c r="AB52" s="834">
        <f t="shared" si="12"/>
        <v>0.05</v>
      </c>
      <c r="AC52" s="834">
        <f t="shared" si="12"/>
        <v>0.05</v>
      </c>
      <c r="AD52" s="834">
        <f t="shared" si="12"/>
        <v>0.05</v>
      </c>
      <c r="AE52" s="834">
        <f t="shared" si="12"/>
        <v>0.05</v>
      </c>
      <c r="AF52" s="834">
        <f t="shared" si="12"/>
        <v>0.05</v>
      </c>
      <c r="AG52" s="834">
        <f t="shared" si="12"/>
        <v>0.05</v>
      </c>
      <c r="AH52" s="834">
        <f t="shared" si="12"/>
        <v>0.05</v>
      </c>
      <c r="AI52" s="834">
        <f t="shared" si="12"/>
        <v>0.05</v>
      </c>
      <c r="AJ52" s="834">
        <f t="shared" si="12"/>
        <v>0.05</v>
      </c>
      <c r="AK52" s="834">
        <f t="shared" si="12"/>
        <v>0.05</v>
      </c>
      <c r="AL52" s="834">
        <f t="shared" si="12"/>
        <v>0.05</v>
      </c>
      <c r="AM52" s="834">
        <f t="shared" si="12"/>
        <v>0.05</v>
      </c>
      <c r="AN52" s="834">
        <f t="shared" si="12"/>
        <v>0.05</v>
      </c>
      <c r="AO52" s="834">
        <f t="shared" si="12"/>
        <v>0.05</v>
      </c>
      <c r="AP52" s="834">
        <f t="shared" si="12"/>
        <v>0.05</v>
      </c>
      <c r="AQ52" s="834">
        <f t="shared" si="12"/>
        <v>0.05</v>
      </c>
      <c r="AR52" s="834">
        <f t="shared" si="12"/>
        <v>0.05</v>
      </c>
      <c r="AS52" s="834">
        <f t="shared" si="12"/>
        <v>0.05</v>
      </c>
      <c r="AT52" s="834">
        <f t="shared" si="12"/>
        <v>0.05</v>
      </c>
      <c r="AU52" s="834">
        <f t="shared" si="12"/>
        <v>0.05</v>
      </c>
      <c r="AV52" s="835">
        <f t="shared" si="12"/>
        <v>0.05</v>
      </c>
    </row>
    <row r="53" spans="2:48" s="15" customFormat="1" ht="13.5" outlineLevel="1" x14ac:dyDescent="0.25">
      <c r="B53" s="671" t="s">
        <v>1423</v>
      </c>
      <c r="C53" s="679" t="s">
        <v>1283</v>
      </c>
      <c r="D53" s="677">
        <f>SISENDID!$G$285*D52</f>
        <v>0</v>
      </c>
      <c r="E53" s="677">
        <f>SISENDID!$G$285*E52</f>
        <v>0</v>
      </c>
      <c r="F53" s="677">
        <f>SISENDID!$G$285*F52</f>
        <v>0</v>
      </c>
      <c r="G53" s="677">
        <f>SISENDID!$G$285*G52</f>
        <v>0</v>
      </c>
      <c r="H53" s="677">
        <f>SISENDID!$G$285*H52</f>
        <v>0</v>
      </c>
      <c r="I53" s="677">
        <f>SISENDID!$G$285*I52</f>
        <v>0</v>
      </c>
      <c r="J53" s="677">
        <f>SISENDID!$G$285*J52</f>
        <v>0</v>
      </c>
      <c r="K53" s="677">
        <f>SISENDID!$G$285*K52</f>
        <v>0</v>
      </c>
      <c r="L53" s="677">
        <f>SISENDID!$G$285*L52</f>
        <v>0</v>
      </c>
      <c r="M53" s="677">
        <f>SISENDID!$G$285*M52</f>
        <v>0</v>
      </c>
      <c r="N53" s="677">
        <f>SISENDID!$G$285*N52</f>
        <v>18.352941176470587</v>
      </c>
      <c r="O53" s="677">
        <f>SISENDID!$G$285*O52</f>
        <v>18.352941176470587</v>
      </c>
      <c r="P53" s="677">
        <f>SISENDID!$G$285*P52</f>
        <v>18.352941176470587</v>
      </c>
      <c r="Q53" s="677">
        <f>SISENDID!$G$285*Q52</f>
        <v>18.352941176470587</v>
      </c>
      <c r="R53" s="677">
        <f>SISENDID!$G$285*R52</f>
        <v>18.352941176470587</v>
      </c>
      <c r="S53" s="677">
        <f>SISENDID!$G$285*S52</f>
        <v>18.352941176470587</v>
      </c>
      <c r="T53" s="677">
        <f>SISENDID!$G$285*T52</f>
        <v>18.352941176470587</v>
      </c>
      <c r="U53" s="677">
        <f>SISENDID!$G$285*U52</f>
        <v>18.352941176470587</v>
      </c>
      <c r="V53" s="677">
        <f>SISENDID!$G$285*V52</f>
        <v>18.352941176470587</v>
      </c>
      <c r="W53" s="677">
        <f>SISENDID!$G$285*W52</f>
        <v>18.352941176470587</v>
      </c>
      <c r="X53" s="677">
        <f>SISENDID!$G$285*X52</f>
        <v>18.352941176470587</v>
      </c>
      <c r="Y53" s="677">
        <f>SISENDID!$G$285*Y52</f>
        <v>18.352941176470587</v>
      </c>
      <c r="Z53" s="677">
        <f>SISENDID!$G$285*Z52</f>
        <v>18.352941176470587</v>
      </c>
      <c r="AA53" s="677">
        <f>SISENDID!$G$285*AA52</f>
        <v>18.352941176470587</v>
      </c>
      <c r="AB53" s="677">
        <f>SISENDID!$G$285*AB52</f>
        <v>18.352941176470587</v>
      </c>
      <c r="AC53" s="677">
        <f>SISENDID!$G$285*AC52</f>
        <v>18.352941176470587</v>
      </c>
      <c r="AD53" s="677">
        <f>SISENDID!$G$285*AD52</f>
        <v>18.352941176470587</v>
      </c>
      <c r="AE53" s="677">
        <f>SISENDID!$G$285*AE52</f>
        <v>18.352941176470587</v>
      </c>
      <c r="AF53" s="677">
        <f>SISENDID!$G$285*AF52</f>
        <v>18.352941176470587</v>
      </c>
      <c r="AG53" s="677">
        <f>SISENDID!$G$285*AG52</f>
        <v>18.352941176470587</v>
      </c>
      <c r="AH53" s="677">
        <f>SISENDID!$G$285*AH52</f>
        <v>18.352941176470587</v>
      </c>
      <c r="AI53" s="677">
        <f>SISENDID!$G$285*AI52</f>
        <v>18.352941176470587</v>
      </c>
      <c r="AJ53" s="677">
        <f>SISENDID!$G$285*AJ52</f>
        <v>18.352941176470587</v>
      </c>
      <c r="AK53" s="677">
        <f>SISENDID!$G$285*AK52</f>
        <v>18.352941176470587</v>
      </c>
      <c r="AL53" s="677">
        <f>SISENDID!$G$285*AL52</f>
        <v>18.352941176470587</v>
      </c>
      <c r="AM53" s="677">
        <f>SISENDID!$G$285*AM52</f>
        <v>18.352941176470587</v>
      </c>
      <c r="AN53" s="677">
        <f>SISENDID!$G$285*AN52</f>
        <v>18.352941176470587</v>
      </c>
      <c r="AO53" s="677">
        <f>SISENDID!$G$285*AO52</f>
        <v>18.352941176470587</v>
      </c>
      <c r="AP53" s="677">
        <f>SISENDID!$G$285*AP52</f>
        <v>18.352941176470587</v>
      </c>
      <c r="AQ53" s="677">
        <f>SISENDID!$G$285*AQ52</f>
        <v>18.352941176470587</v>
      </c>
      <c r="AR53" s="677">
        <f>SISENDID!$G$285*AR52</f>
        <v>18.352941176470587</v>
      </c>
      <c r="AS53" s="677">
        <f>SISENDID!$G$285*AS52</f>
        <v>18.352941176470587</v>
      </c>
      <c r="AT53" s="677">
        <f>SISENDID!$G$285*AT52</f>
        <v>18.352941176470587</v>
      </c>
      <c r="AU53" s="677">
        <f>SISENDID!$G$285*AU52</f>
        <v>18.352941176470587</v>
      </c>
      <c r="AV53" s="819">
        <f>SISENDID!$G$285*AV52</f>
        <v>18.352941176470587</v>
      </c>
    </row>
    <row r="54" spans="2:48" s="15" customFormat="1" ht="13.5" outlineLevel="1" x14ac:dyDescent="0.25">
      <c r="B54" s="671"/>
      <c r="C54" s="679"/>
      <c r="D54" s="677"/>
      <c r="E54" s="677"/>
      <c r="F54" s="677"/>
      <c r="G54" s="677"/>
      <c r="H54" s="677"/>
      <c r="I54" s="677"/>
      <c r="J54" s="677"/>
      <c r="K54" s="677"/>
      <c r="L54" s="677"/>
      <c r="M54" s="677"/>
      <c r="N54" s="677"/>
      <c r="O54" s="677"/>
      <c r="P54" s="677"/>
      <c r="Q54" s="677"/>
      <c r="R54" s="677"/>
      <c r="S54" s="677"/>
      <c r="T54" s="677"/>
      <c r="U54" s="677"/>
      <c r="V54" s="677"/>
      <c r="W54" s="677"/>
      <c r="X54" s="677"/>
      <c r="Y54" s="677"/>
      <c r="Z54" s="677"/>
      <c r="AA54" s="677"/>
      <c r="AB54" s="677"/>
      <c r="AC54" s="677"/>
      <c r="AD54" s="677"/>
      <c r="AE54" s="677"/>
      <c r="AF54" s="677"/>
      <c r="AG54" s="677"/>
      <c r="AH54" s="677"/>
      <c r="AI54" s="677"/>
      <c r="AJ54" s="677"/>
      <c r="AK54" s="677"/>
      <c r="AL54" s="677"/>
      <c r="AM54" s="677"/>
      <c r="AN54" s="677"/>
      <c r="AO54" s="677"/>
      <c r="AP54" s="677"/>
      <c r="AQ54" s="677"/>
      <c r="AR54" s="677"/>
      <c r="AS54" s="677"/>
      <c r="AT54" s="677"/>
      <c r="AU54" s="677"/>
      <c r="AV54" s="819"/>
    </row>
    <row r="55" spans="2:48" s="15" customFormat="1" ht="13.5" outlineLevel="1" x14ac:dyDescent="0.25">
      <c r="B55" s="817" t="s">
        <v>1284</v>
      </c>
      <c r="C55" s="818" t="s">
        <v>657</v>
      </c>
      <c r="D55" s="675">
        <f>(D49+D51+D53)*1000/$C$14*$C$13</f>
        <v>0</v>
      </c>
      <c r="E55" s="675">
        <f t="shared" ref="E55:K55" si="13">(E49+E51+E53)*1000/$C$14*$C$13</f>
        <v>0</v>
      </c>
      <c r="F55" s="675">
        <f t="shared" si="13"/>
        <v>0</v>
      </c>
      <c r="G55" s="675">
        <f t="shared" si="13"/>
        <v>0</v>
      </c>
      <c r="H55" s="675">
        <f t="shared" si="13"/>
        <v>0</v>
      </c>
      <c r="I55" s="675">
        <f t="shared" si="13"/>
        <v>47193.277310924372</v>
      </c>
      <c r="J55" s="675">
        <f t="shared" si="13"/>
        <v>47193.277310924372</v>
      </c>
      <c r="K55" s="675">
        <f t="shared" si="13"/>
        <v>47193.277310924372</v>
      </c>
      <c r="L55" s="675">
        <f>(L49+L51+L53)*1000/$C$14*$C$13</f>
        <v>47193.277310924372</v>
      </c>
      <c r="M55" s="675">
        <f t="shared" ref="M55" si="14">(M49+M51+M53)*1000/$C$14*$C$13</f>
        <v>47193.277310924372</v>
      </c>
      <c r="N55" s="675">
        <f t="shared" ref="N55" si="15">(N49+N51+N53)*1000/$C$14*$C$13</f>
        <v>180907.56302521005</v>
      </c>
      <c r="O55" s="675">
        <f t="shared" ref="O55:P55" si="16">(O49+O51+O53)*1000/$C$14*$C$13</f>
        <v>180907.56302521005</v>
      </c>
      <c r="P55" s="675">
        <f t="shared" si="16"/>
        <v>180907.56302521005</v>
      </c>
      <c r="Q55" s="675">
        <f t="shared" ref="Q55" si="17">(Q49+Q51+Q53)*1000/$C$14*$C$13</f>
        <v>180907.56302521005</v>
      </c>
      <c r="R55" s="675">
        <f t="shared" ref="R55" si="18">(R49+R51+R53)*1000/$C$14*$C$13</f>
        <v>180907.56302521005</v>
      </c>
      <c r="S55" s="675">
        <f t="shared" ref="S55" si="19">(S49+S51+S53)*1000/$C$14*$C$13</f>
        <v>180907.56302521005</v>
      </c>
      <c r="T55" s="675">
        <f t="shared" ref="T55" si="20">(T49+T51+T53)*1000/$C$14*$C$13</f>
        <v>180907.56302521005</v>
      </c>
      <c r="U55" s="675">
        <f t="shared" ref="U55" si="21">(U49+U51+U53)*1000/$C$14*$C$13</f>
        <v>180907.56302521005</v>
      </c>
      <c r="V55" s="675">
        <f t="shared" ref="V55" si="22">(V49+V51+V53)*1000/$C$14*$C$13</f>
        <v>180907.56302521005</v>
      </c>
      <c r="W55" s="675">
        <f t="shared" ref="W55:X55" si="23">(W49+W51+W53)*1000/$C$14*$C$13</f>
        <v>180907.56302521005</v>
      </c>
      <c r="X55" s="675">
        <f t="shared" si="23"/>
        <v>180907.56302521005</v>
      </c>
      <c r="Y55" s="675">
        <f t="shared" ref="Y55" si="24">(Y49+Y51+Y53)*1000/$C$14*$C$13</f>
        <v>180907.56302521005</v>
      </c>
      <c r="Z55" s="675">
        <f t="shared" ref="Z55" si="25">(Z49+Z51+Z53)*1000/$C$14*$C$13</f>
        <v>180907.56302521005</v>
      </c>
      <c r="AA55" s="675">
        <f t="shared" ref="AA55:AB55" si="26">(AA49+AA51+AA53)*1000/$C$14*$C$13</f>
        <v>180907.56302521005</v>
      </c>
      <c r="AB55" s="675">
        <f t="shared" si="26"/>
        <v>180907.56302521005</v>
      </c>
      <c r="AC55" s="675">
        <f t="shared" ref="AC55" si="27">(AC49+AC51+AC53)*1000/$C$14*$C$13</f>
        <v>180907.56302521005</v>
      </c>
      <c r="AD55" s="675">
        <f t="shared" ref="AD55" si="28">(AD49+AD51+AD53)*1000/$C$14*$C$13</f>
        <v>180907.56302521005</v>
      </c>
      <c r="AE55" s="675">
        <f t="shared" ref="AE55" si="29">(AE49+AE51+AE53)*1000/$C$14*$C$13</f>
        <v>180907.56302521005</v>
      </c>
      <c r="AF55" s="675">
        <f t="shared" ref="AF55" si="30">(AF49+AF51+AF53)*1000/$C$14*$C$13</f>
        <v>180907.56302521005</v>
      </c>
      <c r="AG55" s="675">
        <f t="shared" ref="AG55" si="31">(AG49+AG51+AG53)*1000/$C$14*$C$13</f>
        <v>180907.56302521005</v>
      </c>
      <c r="AH55" s="675">
        <f t="shared" ref="AH55" si="32">(AH49+AH51+AH53)*1000/$C$14*$C$13</f>
        <v>180907.56302521005</v>
      </c>
      <c r="AI55" s="675">
        <f t="shared" ref="AI55:AJ55" si="33">(AI49+AI51+AI53)*1000/$C$14*$C$13</f>
        <v>180907.56302521005</v>
      </c>
      <c r="AJ55" s="675">
        <f t="shared" si="33"/>
        <v>180907.56302521005</v>
      </c>
      <c r="AK55" s="675">
        <f t="shared" ref="AK55" si="34">(AK49+AK51+AK53)*1000/$C$14*$C$13</f>
        <v>180907.56302521005</v>
      </c>
      <c r="AL55" s="675">
        <f t="shared" ref="AL55" si="35">(AL49+AL51+AL53)*1000/$C$14*$C$13</f>
        <v>180907.56302521005</v>
      </c>
      <c r="AM55" s="675">
        <f t="shared" ref="AM55:AN55" si="36">(AM49+AM51+AM53)*1000/$C$14*$C$13</f>
        <v>180907.56302521005</v>
      </c>
      <c r="AN55" s="675">
        <f t="shared" si="36"/>
        <v>180907.56302521005</v>
      </c>
      <c r="AO55" s="675">
        <f t="shared" ref="AO55" si="37">(AO49+AO51+AO53)*1000/$C$14*$C$13</f>
        <v>180907.56302521005</v>
      </c>
      <c r="AP55" s="675">
        <f t="shared" ref="AP55" si="38">(AP49+AP51+AP53)*1000/$C$14*$C$13</f>
        <v>180907.56302521005</v>
      </c>
      <c r="AQ55" s="675">
        <f t="shared" ref="AQ55" si="39">(AQ49+AQ51+AQ53)*1000/$C$14*$C$13</f>
        <v>180907.56302521005</v>
      </c>
      <c r="AR55" s="675">
        <f t="shared" ref="AR55" si="40">(AR49+AR51+AR53)*1000/$C$14*$C$13</f>
        <v>180907.56302521005</v>
      </c>
      <c r="AS55" s="675">
        <f t="shared" ref="AS55" si="41">(AS49+AS51+AS53)*1000/$C$14*$C$13</f>
        <v>180907.56302521005</v>
      </c>
      <c r="AT55" s="675">
        <f t="shared" ref="AT55" si="42">(AT49+AT51+AT53)*1000/$C$14*$C$13</f>
        <v>180907.56302521005</v>
      </c>
      <c r="AU55" s="675">
        <f t="shared" ref="AU55:AV55" si="43">(AU49+AU51+AU53)*1000/$C$14*$C$13</f>
        <v>180907.56302521005</v>
      </c>
      <c r="AV55" s="676">
        <f t="shared" si="43"/>
        <v>180907.56302521005</v>
      </c>
    </row>
    <row r="56" spans="2:48" s="15" customFormat="1" ht="13.5" outlineLevel="1" x14ac:dyDescent="0.25">
      <c r="B56" s="817" t="s">
        <v>1285</v>
      </c>
      <c r="C56" s="818" t="s">
        <v>1286</v>
      </c>
      <c r="D56" s="675">
        <f>D$55/100*SISENDID!F261</f>
        <v>0</v>
      </c>
      <c r="E56" s="675">
        <f>E$55/100*SISENDID!G261</f>
        <v>0</v>
      </c>
      <c r="F56" s="675">
        <f>F$55/100*SISENDID!H261</f>
        <v>0</v>
      </c>
      <c r="G56" s="675">
        <f>G$55/100*SISENDID!I261</f>
        <v>0</v>
      </c>
      <c r="H56" s="675">
        <f>H$55/100*SISENDID!J261</f>
        <v>0</v>
      </c>
      <c r="I56" s="675">
        <f>I$55/100*SISENDID!K261</f>
        <v>1840.2369038195689</v>
      </c>
      <c r="J56" s="675">
        <f>J$55/100*SISENDID!L261</f>
        <v>1672.6860273680568</v>
      </c>
      <c r="K56" s="675">
        <f>K$55/100*SISENDID!M261</f>
        <v>1508.5074249818722</v>
      </c>
      <c r="L56" s="675">
        <f>L$55/100*SISENDID!N261</f>
        <v>1347.6505112993596</v>
      </c>
      <c r="M56" s="675">
        <f>M$55/100*SISENDID!O261</f>
        <v>1190.0653124436226</v>
      </c>
      <c r="N56" s="675">
        <f>N$55/100*SISENDID!P261</f>
        <v>4320.7350346687017</v>
      </c>
      <c r="O56" s="675">
        <f>O$55/100*SISENDID!Q261</f>
        <v>4085.3773772828654</v>
      </c>
      <c r="P56" s="675">
        <f>P$55/100*SISENDID!R261</f>
        <v>3855.7257000784039</v>
      </c>
      <c r="Q56" s="675">
        <f>Q$55/100*SISENDID!S261</f>
        <v>3631.6638994143609</v>
      </c>
      <c r="R56" s="675">
        <f>R$55/100*SISENDID!T261</f>
        <v>3413.0780849556477</v>
      </c>
      <c r="S56" s="675">
        <f>S$55/100*SISENDID!U261</f>
        <v>3199.8565385906086</v>
      </c>
      <c r="T56" s="675">
        <f>T$55/100*SISENDID!V261</f>
        <v>2991.8896741032654</v>
      </c>
      <c r="U56" s="675">
        <f>U$55/100*SISENDID!W261</f>
        <v>2789.069997586414</v>
      </c>
      <c r="V56" s="675">
        <f>V$55/100*SISENDID!X261</f>
        <v>2591.292068582015</v>
      </c>
      <c r="W56" s="675">
        <f>W$55/100*SISENDID!Y261</f>
        <v>2398.4524619355484</v>
      </c>
      <c r="X56" s="675">
        <f>X$55/100*SISENDID!Z261</f>
        <v>2210.4497303512899</v>
      </c>
      <c r="Y56" s="675">
        <f>Y$55/100*SISENDID!AA261</f>
        <v>2027.18436763565</v>
      </c>
      <c r="Z56" s="675">
        <f>Z$55/100*SISENDID!AB261</f>
        <v>1848.5587726159936</v>
      </c>
      <c r="AA56" s="675">
        <f>AA$55/100*SISENDID!AC261</f>
        <v>1674.4772137225691</v>
      </c>
      <c r="AB56" s="675">
        <f>AB$55/100*SISENDID!AD261</f>
        <v>1504.8457942214086</v>
      </c>
      <c r="AC56" s="675">
        <f>AC$55/100*SISENDID!AE261</f>
        <v>1428.8982237393595</v>
      </c>
      <c r="AD56" s="675">
        <f>AD$55/100*SISENDID!AF261</f>
        <v>1353.0282341421184</v>
      </c>
      <c r="AE56" s="675">
        <f>AE$55/100*SISENDID!AG261</f>
        <v>1277.2352528530589</v>
      </c>
      <c r="AF56" s="675">
        <f>AF$55/100*SISENDID!AH261</f>
        <v>1201.518711081799</v>
      </c>
      <c r="AG56" s="675">
        <f>AG$55/100*SISENDID!AI261</f>
        <v>1125.878043800654</v>
      </c>
      <c r="AH56" s="675">
        <f>AH$55/100*SISENDID!AJ261</f>
        <v>1050.3126897212262</v>
      </c>
      <c r="AI56" s="675">
        <f>AI$55/100*SISENDID!AK261</f>
        <v>974.82209127114083</v>
      </c>
      <c r="AJ56" s="675">
        <f>AJ$55/100*SISENDID!AL261</f>
        <v>899.40569457091681</v>
      </c>
      <c r="AK56" s="675">
        <f>AK$55/100*SISENDID!AM261</f>
        <v>824.06294941097667</v>
      </c>
      <c r="AL56" s="675">
        <f>AL$55/100*SISENDID!AN261</f>
        <v>748.79330922879524</v>
      </c>
      <c r="AM56" s="675">
        <f>AM$55/100*SISENDID!AO261</f>
        <v>673.59623108618405</v>
      </c>
      <c r="AN56" s="675">
        <f>AN$55/100*SISENDID!AP261</f>
        <v>598.47117564671203</v>
      </c>
      <c r="AO56" s="675">
        <f>AO$55/100*SISENDID!AQ261</f>
        <v>523.41760715326143</v>
      </c>
      <c r="AP56" s="675">
        <f>AP$55/100*SISENDID!AR261</f>
        <v>448.43499340571833</v>
      </c>
      <c r="AQ56" s="675">
        <f>AQ$55/100*SISENDID!AS261</f>
        <v>373.52280573879585</v>
      </c>
      <c r="AR56" s="675">
        <f>AR$55/100*SISENDID!AT261</f>
        <v>298.6805189999917</v>
      </c>
      <c r="AS56" s="675">
        <f>AS$55/100*SISENDID!AU261</f>
        <v>223.90761152767647</v>
      </c>
      <c r="AT56" s="675">
        <f>AT$55/100*SISENDID!AV261</f>
        <v>149.20356512931386</v>
      </c>
      <c r="AU56" s="675">
        <f>AU$55/100*SISENDID!AW261</f>
        <v>74.567865059811311</v>
      </c>
      <c r="AV56" s="676">
        <f>AV$55/100*SISENDID!AX261</f>
        <v>0</v>
      </c>
    </row>
    <row r="57" spans="2:48" s="15" customFormat="1" ht="13.5" outlineLevel="1" x14ac:dyDescent="0.25">
      <c r="B57" s="817" t="s">
        <v>1285</v>
      </c>
      <c r="C57" s="818" t="s">
        <v>659</v>
      </c>
      <c r="D57" s="675">
        <f>D56*SISENDID!$E$418</f>
        <v>0</v>
      </c>
      <c r="E57" s="675">
        <f>E56*SISENDID!$E$418</f>
        <v>0</v>
      </c>
      <c r="F57" s="675">
        <f>F56*SISENDID!$E$418</f>
        <v>0</v>
      </c>
      <c r="G57" s="675">
        <f>G56*SISENDID!$E$418</f>
        <v>0</v>
      </c>
      <c r="H57" s="675">
        <f>H56*SISENDID!$E$418</f>
        <v>0</v>
      </c>
      <c r="I57" s="675">
        <f>I56*SISENDID!$E$418</f>
        <v>18215.032921386854</v>
      </c>
      <c r="J57" s="675">
        <f>J56*SISENDID!$E$418</f>
        <v>16556.580836094497</v>
      </c>
      <c r="K57" s="675">
        <f>K56*SISENDID!$E$418</f>
        <v>14931.508193955566</v>
      </c>
      <c r="L57" s="675">
        <f>L56*SISENDID!$E$418</f>
        <v>13339.314290943319</v>
      </c>
      <c r="M57" s="675">
        <f>M56*SISENDID!$E$418</f>
        <v>11779.504475629465</v>
      </c>
      <c r="N57" s="675">
        <f>N56*SISENDID!$E$418</f>
        <v>42767.49952015774</v>
      </c>
      <c r="O57" s="675">
        <f>O56*SISENDID!$E$418</f>
        <v>40437.882355821253</v>
      </c>
      <c r="P57" s="675">
        <f>P56*SISENDID!$E$418</f>
        <v>38164.744124516052</v>
      </c>
      <c r="Q57" s="675">
        <f>Q56*SISENDID!$E$418</f>
        <v>35946.935609183223</v>
      </c>
      <c r="R57" s="675">
        <f>R56*SISENDID!$E$418</f>
        <v>33783.329500507993</v>
      </c>
      <c r="S57" s="675">
        <f>S56*SISENDID!$E$418</f>
        <v>31672.81999027756</v>
      </c>
      <c r="T57" s="675">
        <f>T56*SISENDID!$E$418</f>
        <v>29614.322372208939</v>
      </c>
      <c r="U57" s="675">
        <f>U56*SISENDID!$E$418</f>
        <v>27606.77265010984</v>
      </c>
      <c r="V57" s="675">
        <f>V56*SISENDID!$E$418</f>
        <v>25649.1271532385</v>
      </c>
      <c r="W57" s="675">
        <f>W56*SISENDID!$E$418</f>
        <v>23740.362158730444</v>
      </c>
      <c r="X57" s="675">
        <f>X56*SISENDID!$E$418</f>
        <v>21879.473520963136</v>
      </c>
      <c r="Y57" s="675">
        <f>Y56*SISENDID!$E$418</f>
        <v>20065.476307731191</v>
      </c>
      <c r="Z57" s="675">
        <f>Z56*SISENDID!$E$418</f>
        <v>18297.404443107625</v>
      </c>
      <c r="AA57" s="675">
        <f>AA56*SISENDID!$E$418</f>
        <v>16574.310356868733</v>
      </c>
      <c r="AB57" s="675">
        <f>AB56*SISENDID!$E$418</f>
        <v>14895.264640362346</v>
      </c>
      <c r="AC57" s="675">
        <f>AC56*SISENDID!$E$418</f>
        <v>14143.520398216928</v>
      </c>
      <c r="AD57" s="675">
        <f>AD56*SISENDID!$E$418</f>
        <v>13392.544067185516</v>
      </c>
      <c r="AE57" s="675">
        <f>AE56*SISENDID!$E$418</f>
        <v>12642.329979790147</v>
      </c>
      <c r="AF57" s="675">
        <f>AF56*SISENDID!$E$418</f>
        <v>11892.872506029862</v>
      </c>
      <c r="AG57" s="675">
        <f>AG56*SISENDID!$E$418</f>
        <v>11144.166053147634</v>
      </c>
      <c r="AH57" s="675">
        <f>AH56*SISENDID!$E$418</f>
        <v>10396.205065398641</v>
      </c>
      <c r="AI57" s="675">
        <f>AI56*SISENDID!$E$418</f>
        <v>9648.9840238200049</v>
      </c>
      <c r="AJ57" s="675">
        <f>AJ56*SISENDID!$E$418</f>
        <v>8902.4974460018475</v>
      </c>
      <c r="AK57" s="675">
        <f>AK56*SISENDID!$E$418</f>
        <v>8156.7398858597289</v>
      </c>
      <c r="AL57" s="675">
        <f>AL56*SISENDID!$E$418</f>
        <v>7411.7059334084606</v>
      </c>
      <c r="AM57" s="675">
        <f>AM56*SISENDID!$E$418</f>
        <v>6667.3902145372667</v>
      </c>
      <c r="AN57" s="675">
        <f>AN56*SISENDID!$E$418</f>
        <v>5923.787390786285</v>
      </c>
      <c r="AO57" s="675">
        <f>AO56*SISENDID!$E$418</f>
        <v>5180.8921591244116</v>
      </c>
      <c r="AP57" s="675">
        <f>AP56*SISENDID!$E$418</f>
        <v>4438.6992517284807</v>
      </c>
      <c r="AQ57" s="675">
        <f>AQ56*SISENDID!$E$418</f>
        <v>3697.203435763749</v>
      </c>
      <c r="AR57" s="675">
        <f>AR56*SISENDID!$E$418</f>
        <v>2956.3995131657175</v>
      </c>
      <c r="AS57" s="675">
        <f>AS56*SISENDID!$E$418</f>
        <v>2216.2823204232468</v>
      </c>
      <c r="AT57" s="675">
        <f>AT56*SISENDID!$E$418</f>
        <v>1476.8467283629743</v>
      </c>
      <c r="AU57" s="675">
        <f>AU56*SISENDID!$E$418</f>
        <v>738.08764193502429</v>
      </c>
      <c r="AV57" s="676">
        <f>AV56*SISENDID!$E$418</f>
        <v>0</v>
      </c>
    </row>
    <row r="58" spans="2:48" s="15" customFormat="1" ht="13.5" outlineLevel="1" x14ac:dyDescent="0.25">
      <c r="B58" s="817" t="s">
        <v>1287</v>
      </c>
      <c r="C58" s="818" t="s">
        <v>659</v>
      </c>
      <c r="D58" s="675">
        <f>D$55/100*SISENDID!F262</f>
        <v>0</v>
      </c>
      <c r="E58" s="675">
        <f>E$55/100*SISENDID!G262</f>
        <v>0</v>
      </c>
      <c r="F58" s="675">
        <f>F$55/100*SISENDID!H262</f>
        <v>0</v>
      </c>
      <c r="G58" s="675">
        <f>G$55/100*SISENDID!I262</f>
        <v>0</v>
      </c>
      <c r="H58" s="675">
        <f>H$55/100*SISENDID!J262</f>
        <v>0</v>
      </c>
      <c r="I58" s="675">
        <f>I$55/100*SISENDID!K262</f>
        <v>3962.8958096647848</v>
      </c>
      <c r="J58" s="675">
        <f>J$55/100*SISENDID!L262</f>
        <v>4359.601770797447</v>
      </c>
      <c r="K58" s="675">
        <f>K$55/100*SISENDID!M262</f>
        <v>4755.0156873433307</v>
      </c>
      <c r="L58" s="675">
        <f>L$55/100*SISENDID!N262</f>
        <v>5149.1391298646804</v>
      </c>
      <c r="M58" s="675">
        <f>M$55/100*SISENDID!O262</f>
        <v>5541.973680151822</v>
      </c>
      <c r="N58" s="675">
        <f>N$55/100*SISENDID!P262</f>
        <v>21792.886506716819</v>
      </c>
      <c r="O58" s="675">
        <f>O$55/100*SISENDID!Q262</f>
        <v>22339.274877892603</v>
      </c>
      <c r="P58" s="675">
        <f>P$55/100*SISENDID!R262</f>
        <v>22883.404352781741</v>
      </c>
      <c r="Q58" s="675">
        <f>Q$55/100*SISENDID!S262</f>
        <v>23425.281712272157</v>
      </c>
      <c r="R58" s="675">
        <f>R$55/100*SISENDID!T262</f>
        <v>23964.913719509554</v>
      </c>
      <c r="S58" s="675">
        <f>S$55/100*SISENDID!U262</f>
        <v>24502.307119939491</v>
      </c>
      <c r="T58" s="675">
        <f>T$55/100*SISENDID!V262</f>
        <v>25037.468641349431</v>
      </c>
      <c r="U58" s="675">
        <f>U$55/100*SISENDID!W262</f>
        <v>25570.404993910663</v>
      </c>
      <c r="V58" s="675">
        <f>V$55/100*SISENDID!X262</f>
        <v>26101.122870220177</v>
      </c>
      <c r="W58" s="675">
        <f>W$55/100*SISENDID!Y262</f>
        <v>26629.628945342396</v>
      </c>
      <c r="X58" s="675">
        <f>X$55/100*SISENDID!Z262</f>
        <v>27155.929876850882</v>
      </c>
      <c r="Y58" s="675">
        <f>Y$55/100*SISENDID!AA262</f>
        <v>27680.032304869892</v>
      </c>
      <c r="Z58" s="675">
        <f>Z$55/100*SISENDID!AB262</f>
        <v>28201.942852115902</v>
      </c>
      <c r="AA58" s="675">
        <f>AA$55/100*SISENDID!AC262</f>
        <v>28721.668123938991</v>
      </c>
      <c r="AB58" s="675">
        <f>AB$55/100*SISENDID!AD262</f>
        <v>29239.214708364165</v>
      </c>
      <c r="AC58" s="675">
        <f>AC$55/100*SISENDID!AE262</f>
        <v>29452.067397244442</v>
      </c>
      <c r="AD58" s="675">
        <f>AD$55/100*SISENDID!AF262</f>
        <v>29664.392180544797</v>
      </c>
      <c r="AE58" s="675">
        <f>AE$55/100*SISENDID!AG262</f>
        <v>29876.187474810929</v>
      </c>
      <c r="AF58" s="675">
        <f>AF$55/100*SISENDID!AH262</f>
        <v>30087.451722459075</v>
      </c>
      <c r="AG58" s="675">
        <f>AG$55/100*SISENDID!AI262</f>
        <v>30298.183391575734</v>
      </c>
      <c r="AH58" s="675">
        <f>AH$55/100*SISENDID!AJ262</f>
        <v>30508.380975718603</v>
      </c>
      <c r="AI58" s="675">
        <f>AI$55/100*SISENDID!AK262</f>
        <v>30718.0429937189</v>
      </c>
      <c r="AJ58" s="675">
        <f>AJ$55/100*SISENDID!AL262</f>
        <v>30927.167989484886</v>
      </c>
      <c r="AK58" s="675">
        <f>AK$55/100*SISENDID!AM262</f>
        <v>31135.754531806662</v>
      </c>
      <c r="AL58" s="675">
        <f>AL$55/100*SISENDID!AN262</f>
        <v>31343.801214162319</v>
      </c>
      <c r="AM58" s="675">
        <f>AM$55/100*SISENDID!AO262</f>
        <v>31551.306654525219</v>
      </c>
      <c r="AN58" s="675">
        <f>AN$55/100*SISENDID!AP262</f>
        <v>31758.269495172612</v>
      </c>
      <c r="AO58" s="675">
        <f>AO$55/100*SISENDID!AQ262</f>
        <v>31964.688402495427</v>
      </c>
      <c r="AP58" s="675">
        <f>AP$55/100*SISENDID!AR262</f>
        <v>32170.562066809402</v>
      </c>
      <c r="AQ58" s="675">
        <f>AQ$55/100*SISENDID!AS262</f>
        <v>32375.889202167287</v>
      </c>
      <c r="AR58" s="675">
        <f>AR$55/100*SISENDID!AT262</f>
        <v>32580.668546172412</v>
      </c>
      <c r="AS58" s="675">
        <f>AS$55/100*SISENDID!AU262</f>
        <v>32784.898859793349</v>
      </c>
      <c r="AT58" s="675">
        <f>AT$55/100*SISENDID!AV262</f>
        <v>32988.5789271799</v>
      </c>
      <c r="AU58" s="675">
        <f>AU$55/100*SISENDID!AW262</f>
        <v>33191.707555480141</v>
      </c>
      <c r="AV58" s="676">
        <f>AV$55/100*SISENDID!AX262</f>
        <v>33394.28357465873</v>
      </c>
    </row>
    <row r="59" spans="2:48" s="39" customFormat="1" ht="13.5" outlineLevel="1" x14ac:dyDescent="0.25">
      <c r="B59" s="689" t="s">
        <v>1261</v>
      </c>
      <c r="C59" s="693" t="s">
        <v>853</v>
      </c>
      <c r="D59" s="710">
        <f>D$55*SISENDID!E263/1000</f>
        <v>0</v>
      </c>
      <c r="E59" s="710">
        <f>E$55*SISENDID!F263/1000</f>
        <v>0</v>
      </c>
      <c r="F59" s="710">
        <f>F$55*SISENDID!G263/1000</f>
        <v>0</v>
      </c>
      <c r="G59" s="710">
        <f>G$55*SISENDID!H263/1000</f>
        <v>0</v>
      </c>
      <c r="H59" s="710">
        <f>H$55*SISENDID!I263/1000</f>
        <v>0</v>
      </c>
      <c r="I59" s="710">
        <f>I$55*SISENDID!J263/1000</f>
        <v>5349.7497484417918</v>
      </c>
      <c r="J59" s="710">
        <f>J$55*SISENDID!K263/1000</f>
        <v>4883.7103766209138</v>
      </c>
      <c r="K59" s="710">
        <f>K$55*SISENDID!L263/1000</f>
        <v>4426.8757826296978</v>
      </c>
      <c r="L59" s="710">
        <f>L$55*SISENDID!M263/1000</f>
        <v>3979.1178492006616</v>
      </c>
      <c r="M59" s="710">
        <f>M$55*SISENDID!N263/1000</f>
        <v>3540.3096525051915</v>
      </c>
      <c r="N59" s="710">
        <f>N$55*SISENDID!O263/1000</f>
        <v>11922.91427835088</v>
      </c>
      <c r="O59" s="710">
        <f>O$55*SISENDID!P263/1000</f>
        <v>11284.40478019363</v>
      </c>
      <c r="P59" s="710">
        <f>P$55*SISENDID!Q263/1000</f>
        <v>10661.936455298212</v>
      </c>
      <c r="Q59" s="710">
        <f>Q$55*SISENDID!R263/1000</f>
        <v>10055.162219028418</v>
      </c>
      <c r="R59" s="710">
        <f>R$55*SISENDID!S263/1000</f>
        <v>9463.7421825588517</v>
      </c>
      <c r="S59" s="710">
        <f>S$55*SISENDID!T263/1000</f>
        <v>8887.3435049819254</v>
      </c>
      <c r="T59" s="710">
        <f>T$55*SISENDID!U263/1000</f>
        <v>8325.6402484603313</v>
      </c>
      <c r="U59" s="710">
        <f>U$55*SISENDID!V263/1000</f>
        <v>7778.3132363620416</v>
      </c>
      <c r="V59" s="710">
        <f>V$55*SISENDID!W263/1000</f>
        <v>7245.0499143162051</v>
      </c>
      <c r="W59" s="710">
        <f>W$55*SISENDID!X263/1000</f>
        <v>6725.5442141295534</v>
      </c>
      <c r="X59" s="710">
        <f>X$55*SISENDID!Y263/1000</f>
        <v>6219.4964205042879</v>
      </c>
      <c r="Y59" s="710">
        <f>Y$55*SISENDID!Z263/1000</f>
        <v>5726.6130404994892</v>
      </c>
      <c r="Z59" s="710">
        <f>Z$55*SISENDID!AA263/1000</f>
        <v>5246.6066756794189</v>
      </c>
      <c r="AA59" s="710">
        <f>AA$55*SISENDID!AB263/1000</f>
        <v>4779.1958968931885</v>
      </c>
      <c r="AB59" s="710">
        <f>AB$55*SISENDID!AC263/1000</f>
        <v>4324.1051216314381</v>
      </c>
      <c r="AC59" s="710">
        <f>AC$55*SISENDID!AD263/1000</f>
        <v>3881.0644939068065</v>
      </c>
      <c r="AD59" s="710">
        <f>AD$55*SISENDID!AE263/1000</f>
        <v>3637.927851444289</v>
      </c>
      <c r="AE59" s="710">
        <f>AE$55*SISENDID!AF263/1000</f>
        <v>3400.6163449916385</v>
      </c>
      <c r="AF59" s="710">
        <f>AF$55*SISENDID!AG263/1000</f>
        <v>3169.0108650130765</v>
      </c>
      <c r="AG59" s="710">
        <f>AG$55*SISENDID!AH263/1000</f>
        <v>2942.9946463494393</v>
      </c>
      <c r="AH59" s="710">
        <f>AH$55*SISENDID!AI263/1000</f>
        <v>2722.4532220791398</v>
      </c>
      <c r="AI59" s="710">
        <f>AI$55*SISENDID!AJ263/1000</f>
        <v>2507.2743782978305</v>
      </c>
      <c r="AJ59" s="710">
        <f>AJ$55*SISENDID!AK263/1000</f>
        <v>2297.3481097982553</v>
      </c>
      <c r="AK59" s="710">
        <f>AK$55*SISENDID!AL263/1000</f>
        <v>2092.5665766321245</v>
      </c>
      <c r="AL59" s="710">
        <f>AL$55*SISENDID!AM263/1000</f>
        <v>1892.8240615362499</v>
      </c>
      <c r="AM59" s="710">
        <f>AM$55*SISENDID!AN263/1000</f>
        <v>1698.0169282055183</v>
      </c>
      <c r="AN59" s="710">
        <f>AN$55*SISENDID!AO263/1000</f>
        <v>1508.0435803956414</v>
      </c>
      <c r="AO59" s="710">
        <f>AO$55*SISENDID!AP263/1000</f>
        <v>1322.8044218389673</v>
      </c>
      <c r="AP59" s="710">
        <f>AP$55*SISENDID!AQ263/1000</f>
        <v>1142.2018169569806</v>
      </c>
      <c r="AQ59" s="710">
        <f>AQ$55*SISENDID!AR263/1000</f>
        <v>966.14005235344951</v>
      </c>
      <c r="AR59" s="710">
        <f>AR$55*SISENDID!AS263/1000</f>
        <v>794.52529907250221</v>
      </c>
      <c r="AS59" s="710">
        <f>AS$55*SISENDID!AT263/1000</f>
        <v>627.26557560623814</v>
      </c>
      <c r="AT59" s="710">
        <f>AT$55*SISENDID!AU263/1000</f>
        <v>464.27071163679227</v>
      </c>
      <c r="AU59" s="710">
        <f>AU$55*SISENDID!AV263/1000</f>
        <v>305.45231249807478</v>
      </c>
      <c r="AV59" s="426">
        <f>AV$55*SISENDID!AW263/1000</f>
        <v>150.72372434271122</v>
      </c>
    </row>
    <row r="61" spans="2:48" x14ac:dyDescent="0.25">
      <c r="D61" s="125"/>
    </row>
    <row r="62" spans="2:48" x14ac:dyDescent="0.25">
      <c r="D62" s="294"/>
      <c r="E62" s="127"/>
    </row>
    <row r="63" spans="2:48" x14ac:dyDescent="0.25">
      <c r="D63" s="294"/>
      <c r="E63" s="128"/>
    </row>
    <row r="64" spans="2:48" x14ac:dyDescent="0.25">
      <c r="D64" s="294"/>
      <c r="E64" s="128"/>
    </row>
    <row r="65" spans="4:5" x14ac:dyDescent="0.25">
      <c r="D65" s="129"/>
      <c r="E65" s="128"/>
    </row>
    <row r="66" spans="4:5" x14ac:dyDescent="0.25">
      <c r="E66" s="128"/>
    </row>
    <row r="67" spans="4:5" x14ac:dyDescent="0.25">
      <c r="E67" s="128"/>
    </row>
    <row r="68" spans="4:5" x14ac:dyDescent="0.25">
      <c r="E68" s="127"/>
    </row>
    <row r="69" spans="4:5" x14ac:dyDescent="0.25">
      <c r="E69" s="127"/>
    </row>
    <row r="70" spans="4:5" x14ac:dyDescent="0.25">
      <c r="E70" s="127"/>
    </row>
    <row r="71" spans="4:5" x14ac:dyDescent="0.25">
      <c r="E71" s="127"/>
    </row>
  </sheetData>
  <sheetProtection algorithmName="SHA-512" hashValue="cKwR+OGIKKeiWBtbHl7KIimj+nbo9nSw0/plnDoQwJgwWxV4Xt3L+W88RS38SYgsMmGNlEC8Oun1xqyzjGI8eQ==" saltValue="DuvQdzU5fSL/4VdOpbaH0g==" spinCount="100000" sheet="1" objects="1" scenarios="1" selectLockedCells="1"/>
  <mergeCells count="2">
    <mergeCell ref="B3:E3"/>
    <mergeCell ref="F3:L3"/>
  </mergeCells>
  <conditionalFormatting sqref="C32:C34">
    <cfRule type="containsText" dxfId="32" priority="1" operator="containsText" text="Kõrge">
      <formula>NOT(ISERROR(SEARCH("Kõrge",C32)))</formula>
    </cfRule>
    <cfRule type="containsText" dxfId="31" priority="2" operator="containsText" text="Mõõdukas">
      <formula>NOT(ISERROR(SEARCH("Mõõdukas",C32)))</formula>
    </cfRule>
    <cfRule type="containsText" dxfId="30" priority="3" operator="containsText" text="Madal">
      <formula>NOT(ISERROR(SEARCH("Madal",C32)))</formula>
    </cfRule>
  </conditionalFormatting>
  <dataValidations count="3">
    <dataValidation type="list" allowBlank="1" showInputMessage="1" showErrorMessage="1" sqref="C34" xr:uid="{5ABA7907-3AA2-4DFE-9ECF-506EDCD99F73}">
      <formula1>I32:I34</formula1>
    </dataValidation>
    <dataValidation type="list" allowBlank="1" showInputMessage="1" showErrorMessage="1" sqref="C33" xr:uid="{CE995672-2D4B-4254-B12D-49C784811C71}">
      <formula1>I32:I34</formula1>
    </dataValidation>
    <dataValidation type="list" allowBlank="1" showInputMessage="1" showErrorMessage="1" sqref="C32" xr:uid="{39C01799-DDB9-4294-878A-414F7CE9198D}">
      <formula1>I32:I34</formula1>
    </dataValidation>
  </dataValidations>
  <hyperlinks>
    <hyperlink ref="B1" location="MEETMED!A1" display="&lt;-MEETMETE NIMEKIRI" xr:uid="{ECE1AEF0-6FEE-4F96-A1EA-043F51344504}"/>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BFEC8-17DC-4C84-9EC3-90B891864B37}">
  <sheetPr>
    <tabColor theme="5" tint="0.79998168889431442"/>
  </sheetPr>
  <dimension ref="A1:AV61"/>
  <sheetViews>
    <sheetView showGridLines="0" workbookViewId="0">
      <selection activeCell="D11" sqref="D11"/>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6" width="11.85546875" customWidth="1"/>
    <col min="7" max="7" width="12.140625" customWidth="1"/>
    <col min="8" max="8" width="9.7109375" customWidth="1"/>
    <col min="9" max="9" width="9" customWidth="1"/>
    <col min="10" max="10" width="9.85546875" bestFit="1" customWidth="1"/>
    <col min="11" max="15" width="11.5703125" bestFit="1" customWidth="1"/>
    <col min="16" max="16" width="11.28515625"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5.25" customHeight="1" x14ac:dyDescent="0.25">
      <c r="A3" s="260" t="s">
        <v>229</v>
      </c>
      <c r="B3" s="988" t="str">
        <f>"MEEDE: "&amp;VLOOKUP(A3,MEETMED!B:G,2,FALSE)</f>
        <v>MEEDE: Jalakäijasõbraliku linna loomine / autostumise vähendamine</v>
      </c>
      <c r="C3" s="988"/>
      <c r="D3" s="988"/>
      <c r="E3" s="990" t="str">
        <f>"TEGEVUS: "&amp;VLOOKUP(A3,MEETMED!B:G,3,FALSE)</f>
        <v>TEGEVUS: Raskeveokid üha rohkem suunata Tallinna asemel Muuga ja Paldiski sadamatesse</v>
      </c>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5.25" customHeight="1" outlineLevel="1" x14ac:dyDescent="0.25">
      <c r="D6" s="2"/>
    </row>
    <row r="7" spans="1:27" s="1" customFormat="1" outlineLevel="1" x14ac:dyDescent="0.25">
      <c r="B7" s="802" t="s">
        <v>1424</v>
      </c>
      <c r="C7" s="902">
        <v>2040</v>
      </c>
      <c r="D7" s="7" t="s">
        <v>863</v>
      </c>
    </row>
    <row r="8" spans="1:27" s="1" customFormat="1" outlineLevel="1" x14ac:dyDescent="0.25">
      <c r="B8" s="802" t="s">
        <v>1425</v>
      </c>
      <c r="C8" s="902">
        <v>2045</v>
      </c>
      <c r="D8" s="7" t="s">
        <v>863</v>
      </c>
    </row>
    <row r="9" spans="1:27" s="1" customFormat="1" outlineLevel="1" x14ac:dyDescent="0.25">
      <c r="B9" s="802" t="s">
        <v>1426</v>
      </c>
      <c r="C9" s="847">
        <f>C8-C7+1</f>
        <v>6</v>
      </c>
      <c r="D9" s="7" t="s">
        <v>863</v>
      </c>
      <c r="E9" s="7"/>
      <c r="F9" s="7"/>
      <c r="G9" s="7"/>
      <c r="H9" s="7"/>
      <c r="I9" s="7"/>
      <c r="J9" s="7"/>
      <c r="K9" s="7"/>
      <c r="L9" s="7"/>
    </row>
    <row r="10" spans="1:27" s="1" customFormat="1" ht="39.6" customHeight="1" outlineLevel="1" x14ac:dyDescent="0.25">
      <c r="B10" s="784"/>
      <c r="C10" s="445" t="s">
        <v>1427</v>
      </c>
      <c r="D10" s="445" t="s">
        <v>1428</v>
      </c>
      <c r="E10" s="844" t="s">
        <v>1025</v>
      </c>
      <c r="G10" s="277" t="s">
        <v>876</v>
      </c>
    </row>
    <row r="11" spans="1:27" s="1" customFormat="1" outlineLevel="1" x14ac:dyDescent="0.25">
      <c r="B11" s="845">
        <v>2014</v>
      </c>
      <c r="C11" s="895">
        <v>3336</v>
      </c>
      <c r="D11" s="895">
        <v>278.39999999999998</v>
      </c>
      <c r="E11" s="752">
        <f>D11*$C$17*$C$18</f>
        <v>2227.2000000000003</v>
      </c>
      <c r="G11" s="893" t="s">
        <v>1670</v>
      </c>
      <c r="H11" s="305" t="s">
        <v>877</v>
      </c>
    </row>
    <row r="12" spans="1:27" s="1" customFormat="1" outlineLevel="1" x14ac:dyDescent="0.25">
      <c r="B12" s="845">
        <v>2022</v>
      </c>
      <c r="C12" s="895">
        <v>4725</v>
      </c>
      <c r="D12" s="846">
        <f>C12/$C$16</f>
        <v>394.31654676258989</v>
      </c>
      <c r="E12" s="752">
        <f>D12*$C$17*$C$18</f>
        <v>3154.5323741007196</v>
      </c>
      <c r="G12" s="892" t="s">
        <v>878</v>
      </c>
      <c r="H12" s="305" t="s">
        <v>1669</v>
      </c>
    </row>
    <row r="13" spans="1:27" s="1" customFormat="1" outlineLevel="1" x14ac:dyDescent="0.25">
      <c r="B13" s="845">
        <v>2023</v>
      </c>
      <c r="C13" s="895">
        <v>4215</v>
      </c>
      <c r="D13" s="846">
        <f>C13/$C$16</f>
        <v>351.75539568345317</v>
      </c>
      <c r="E13" s="752">
        <f>D13*$C$17*$C$18</f>
        <v>2814.0431654676254</v>
      </c>
      <c r="G13" s="892" t="s">
        <v>1671</v>
      </c>
      <c r="H13" s="228">
        <v>1234</v>
      </c>
    </row>
    <row r="14" spans="1:27" s="1" customFormat="1" outlineLevel="1" x14ac:dyDescent="0.25">
      <c r="B14" s="845">
        <v>2024</v>
      </c>
      <c r="C14" s="895">
        <v>4068</v>
      </c>
      <c r="D14" s="846">
        <f>C14/$C$16</f>
        <v>339.4877697841726</v>
      </c>
      <c r="E14" s="752">
        <f>D14*$C$17*$C$18</f>
        <v>2715.9021582733808</v>
      </c>
    </row>
    <row r="15" spans="1:27" s="1" customFormat="1" ht="19.5" customHeight="1" outlineLevel="1" x14ac:dyDescent="0.25">
      <c r="C15" s="352" t="s">
        <v>1429</v>
      </c>
      <c r="D15" s="305"/>
    </row>
    <row r="16" spans="1:27" s="1" customFormat="1" outlineLevel="1" x14ac:dyDescent="0.25">
      <c r="B16" s="845" t="s">
        <v>1430</v>
      </c>
      <c r="C16" s="935">
        <f>C11/D11</f>
        <v>11.982758620689657</v>
      </c>
      <c r="D16" s="7" t="s">
        <v>1431</v>
      </c>
    </row>
    <row r="17" spans="1:34" s="1" customFormat="1" outlineLevel="1" x14ac:dyDescent="0.25">
      <c r="B17" s="845" t="s">
        <v>1432</v>
      </c>
      <c r="C17" s="905">
        <v>10</v>
      </c>
      <c r="D17" s="7" t="s">
        <v>1232</v>
      </c>
      <c r="E17" s="305" t="s">
        <v>1433</v>
      </c>
    </row>
    <row r="18" spans="1:34" s="1" customFormat="1" outlineLevel="1" x14ac:dyDescent="0.25">
      <c r="B18" s="845" t="s">
        <v>706</v>
      </c>
      <c r="C18" s="905">
        <v>0.8</v>
      </c>
      <c r="D18" s="7" t="s">
        <v>1434</v>
      </c>
    </row>
    <row r="19" spans="1:34" s="1" customFormat="1" outlineLevel="1" x14ac:dyDescent="0.25">
      <c r="B19" s="845" t="s">
        <v>1435</v>
      </c>
      <c r="C19" s="905">
        <f>C18/0.85/SISENDID!D418*100</f>
        <v>35.552045067621037</v>
      </c>
      <c r="D19" s="7" t="s">
        <v>656</v>
      </c>
    </row>
    <row r="20" spans="1:34" s="1" customFormat="1" outlineLevel="1" x14ac:dyDescent="0.25">
      <c r="B20" s="845" t="s">
        <v>1436</v>
      </c>
      <c r="C20" s="906">
        <v>-0.01</v>
      </c>
      <c r="D20" s="7"/>
    </row>
    <row r="21" spans="1:34" s="1" customFormat="1" outlineLevel="1" x14ac:dyDescent="0.25">
      <c r="B21" s="845" t="s">
        <v>1437</v>
      </c>
      <c r="C21" s="906">
        <v>0.5</v>
      </c>
      <c r="D21" s="7"/>
    </row>
    <row r="22" spans="1:34" s="1" customFormat="1" x14ac:dyDescent="0.25">
      <c r="B22" s="7"/>
      <c r="C22" s="7"/>
      <c r="D22" s="7"/>
      <c r="E22" s="7"/>
      <c r="F22" s="7"/>
      <c r="G22" s="7"/>
      <c r="H22" s="7"/>
      <c r="I22" s="7"/>
      <c r="J22" s="7"/>
      <c r="K22" s="7"/>
      <c r="L22" s="7"/>
    </row>
    <row r="23" spans="1:34" x14ac:dyDescent="0.25">
      <c r="A23" s="1"/>
      <c r="B23" s="659" t="s">
        <v>895</v>
      </c>
      <c r="C23" s="659"/>
      <c r="D23" s="659"/>
      <c r="E23" s="659"/>
      <c r="F23" s="659"/>
      <c r="G23" s="659"/>
      <c r="H23" s="659"/>
      <c r="I23" s="659"/>
      <c r="J23" s="659"/>
      <c r="K23" s="659"/>
      <c r="L23" s="659"/>
      <c r="M23" s="1"/>
      <c r="N23" s="1"/>
      <c r="O23" s="1"/>
      <c r="P23" s="1"/>
      <c r="Q23" s="1"/>
      <c r="R23" s="1"/>
      <c r="S23" s="1"/>
      <c r="T23" s="1"/>
      <c r="U23" s="1"/>
      <c r="V23" s="1"/>
      <c r="W23" s="1"/>
      <c r="X23" s="1"/>
      <c r="Y23" s="1"/>
      <c r="Z23" s="1"/>
      <c r="AA23" s="1"/>
      <c r="AB23" s="1"/>
      <c r="AC23" s="1"/>
      <c r="AD23" s="1"/>
      <c r="AE23" s="1"/>
      <c r="AF23" s="1"/>
      <c r="AG23" s="1"/>
      <c r="AH23" s="1"/>
    </row>
    <row r="24" spans="1:34" s="1" customFormat="1" ht="9.75" customHeight="1" outlineLevel="1" x14ac:dyDescent="0.25"/>
    <row r="25" spans="1:34" s="1" customFormat="1" outlineLevel="1" x14ac:dyDescent="0.25">
      <c r="B25" s="13" t="s">
        <v>896</v>
      </c>
      <c r="D25" s="43"/>
      <c r="E25" s="284" t="s">
        <v>897</v>
      </c>
    </row>
    <row r="26" spans="1:34" s="1" customFormat="1" outlineLevel="1" x14ac:dyDescent="0.25">
      <c r="B26" s="660" t="s">
        <v>898</v>
      </c>
      <c r="C26" s="665" t="s">
        <v>899</v>
      </c>
      <c r="D26" s="43"/>
      <c r="E26" s="661"/>
      <c r="F26" s="662" t="s">
        <v>900</v>
      </c>
    </row>
    <row r="27" spans="1:34" s="1" customFormat="1" outlineLevel="1" x14ac:dyDescent="0.25">
      <c r="B27" s="663" t="s">
        <v>398</v>
      </c>
      <c r="C27" s="666">
        <v>0</v>
      </c>
      <c r="E27" s="663">
        <v>2030</v>
      </c>
      <c r="F27" s="670">
        <f>H49</f>
        <v>107.01738148558297</v>
      </c>
    </row>
    <row r="28" spans="1:34" s="1" customFormat="1" outlineLevel="1" x14ac:dyDescent="0.25">
      <c r="B28" s="155" t="s">
        <v>399</v>
      </c>
      <c r="C28" s="667">
        <v>0</v>
      </c>
      <c r="E28" s="155">
        <v>2035</v>
      </c>
      <c r="F28" s="428">
        <f>M49</f>
        <v>234.87869421260257</v>
      </c>
    </row>
    <row r="29" spans="1:34" s="1" customFormat="1" outlineLevel="1" x14ac:dyDescent="0.25">
      <c r="B29" s="663" t="s">
        <v>400</v>
      </c>
      <c r="C29" s="666">
        <v>0</v>
      </c>
      <c r="E29" s="663">
        <v>2040</v>
      </c>
      <c r="F29" s="670">
        <f>R49</f>
        <v>553.09258270733653</v>
      </c>
    </row>
    <row r="30" spans="1:34" s="1" customFormat="1" ht="15" customHeight="1" outlineLevel="1" x14ac:dyDescent="0.25">
      <c r="B30" s="155" t="s">
        <v>401</v>
      </c>
      <c r="C30" s="667">
        <v>0</v>
      </c>
      <c r="E30" s="155">
        <v>2045</v>
      </c>
      <c r="F30" s="428">
        <f>W49</f>
        <v>1594.0055839869717</v>
      </c>
    </row>
    <row r="31" spans="1:34" s="1" customFormat="1" outlineLevel="1" x14ac:dyDescent="0.25">
      <c r="B31" s="663" t="s">
        <v>901</v>
      </c>
      <c r="C31" s="670">
        <f>MAX(D49:AR49)</f>
        <v>1807.4712368117139</v>
      </c>
      <c r="E31" s="663">
        <v>2050</v>
      </c>
      <c r="F31" s="670">
        <f>AB49</f>
        <v>1648.9896791101094</v>
      </c>
    </row>
    <row r="32" spans="1:34" s="1" customFormat="1" outlineLevel="1" x14ac:dyDescent="0.25">
      <c r="B32" s="155" t="s">
        <v>1386</v>
      </c>
      <c r="C32" s="428">
        <f>SUM(D48:Z48)*SISENDID!E418/1000</f>
        <v>214.4842658875358</v>
      </c>
      <c r="E32" s="7"/>
    </row>
    <row r="33" spans="1:48" s="1" customFormat="1" outlineLevel="1" x14ac:dyDescent="0.25">
      <c r="B33" s="663" t="s">
        <v>403</v>
      </c>
      <c r="C33" s="670">
        <v>0</v>
      </c>
      <c r="E33" s="7"/>
    </row>
    <row r="34" spans="1:48" s="1" customFormat="1" outlineLevel="1" x14ac:dyDescent="0.25">
      <c r="B34" s="13"/>
      <c r="C34" s="236"/>
      <c r="E34" s="7"/>
    </row>
    <row r="35" spans="1:48" s="1" customFormat="1" outlineLevel="1" x14ac:dyDescent="0.25">
      <c r="A35" s="2"/>
      <c r="B35" s="284" t="s">
        <v>903</v>
      </c>
      <c r="D35" s="43"/>
      <c r="E35" s="7"/>
      <c r="I35" s="277" t="s">
        <v>876</v>
      </c>
    </row>
    <row r="36" spans="1:48" s="1" customFormat="1" ht="16.5" customHeight="1" outlineLevel="1" x14ac:dyDescent="0.25">
      <c r="A36" s="2"/>
      <c r="B36" s="155" t="s">
        <v>904</v>
      </c>
      <c r="C36" s="307" t="s">
        <v>905</v>
      </c>
      <c r="D36" s="12"/>
      <c r="E36" s="12"/>
      <c r="F36" s="12"/>
      <c r="G36" s="12"/>
      <c r="H36" s="12"/>
      <c r="I36" s="311" t="s">
        <v>474</v>
      </c>
      <c r="J36" s="295" t="s">
        <v>906</v>
      </c>
      <c r="L36" s="295"/>
    </row>
    <row r="37" spans="1:48" s="1" customFormat="1" outlineLevel="1" x14ac:dyDescent="0.25">
      <c r="A37" s="2">
        <v>189</v>
      </c>
      <c r="B37" s="155" t="s">
        <v>907</v>
      </c>
      <c r="C37" s="307" t="s">
        <v>474</v>
      </c>
      <c r="D37" s="397">
        <f>IF(C37="Kõrge",3,IF(C37="Mõõdukas",2,1))</f>
        <v>3</v>
      </c>
      <c r="E37" s="12"/>
      <c r="F37" s="12"/>
      <c r="G37" s="12"/>
      <c r="H37" s="12"/>
      <c r="I37" s="312" t="s">
        <v>905</v>
      </c>
      <c r="J37" s="295" t="s">
        <v>908</v>
      </c>
      <c r="L37" s="295"/>
    </row>
    <row r="38" spans="1:48" s="1" customFormat="1" ht="16.5" customHeight="1" outlineLevel="1" x14ac:dyDescent="0.25">
      <c r="B38" s="155" t="s">
        <v>909</v>
      </c>
      <c r="C38" s="307" t="s">
        <v>910</v>
      </c>
      <c r="D38" s="397">
        <f>IF(C38="Kõrge",3,IF(C38="Mõõdukas",2,1))</f>
        <v>1</v>
      </c>
      <c r="E38" s="12"/>
      <c r="F38" s="12"/>
      <c r="I38" s="313" t="s">
        <v>910</v>
      </c>
      <c r="J38" s="295" t="s">
        <v>911</v>
      </c>
      <c r="L38" s="295"/>
    </row>
    <row r="39" spans="1:48" s="1" customFormat="1" x14ac:dyDescent="0.25">
      <c r="B39" s="4"/>
      <c r="C39" s="399" t="s">
        <v>912</v>
      </c>
      <c r="D39" s="398">
        <f>D38+D37</f>
        <v>4</v>
      </c>
      <c r="E39" s="12"/>
      <c r="F39" s="12"/>
      <c r="G39" s="12"/>
      <c r="H39" s="12"/>
    </row>
    <row r="40" spans="1:48" x14ac:dyDescent="0.25">
      <c r="A40" s="1"/>
      <c r="B40" s="659" t="s">
        <v>913</v>
      </c>
      <c r="C40" s="659"/>
      <c r="D40" s="659"/>
      <c r="E40" s="659"/>
      <c r="F40" s="659"/>
      <c r="G40" s="659"/>
      <c r="H40" s="659"/>
      <c r="I40" s="659"/>
      <c r="J40" s="659"/>
      <c r="K40" s="659"/>
      <c r="L40" s="659"/>
      <c r="M40" s="659"/>
      <c r="N40" s="659"/>
      <c r="O40" s="659"/>
      <c r="P40" s="659"/>
      <c r="Q40" s="659"/>
      <c r="R40" s="659"/>
      <c r="S40" s="659"/>
      <c r="T40" s="659"/>
      <c r="U40" s="659"/>
      <c r="V40" s="659"/>
      <c r="W40" s="659"/>
      <c r="X40" s="659"/>
      <c r="Y40" s="659"/>
      <c r="Z40" s="659"/>
      <c r="AA40" s="659"/>
      <c r="AB40" s="659"/>
      <c r="AC40" s="659"/>
      <c r="AD40" s="659"/>
      <c r="AE40" s="659"/>
      <c r="AF40" s="659"/>
      <c r="AG40" s="659"/>
      <c r="AH40" s="659"/>
      <c r="AI40" s="659"/>
      <c r="AJ40" s="659"/>
      <c r="AK40" s="659"/>
      <c r="AL40" s="659"/>
      <c r="AM40" s="659"/>
      <c r="AN40" s="659"/>
      <c r="AO40" s="659"/>
      <c r="AP40" s="659"/>
      <c r="AQ40" s="659"/>
      <c r="AR40" s="659"/>
      <c r="AS40" s="659"/>
      <c r="AT40" s="659"/>
      <c r="AU40" s="659"/>
      <c r="AV40" s="659"/>
    </row>
    <row r="41" spans="1:48" s="15" customFormat="1" ht="7.5" customHeight="1" outlineLevel="1" x14ac:dyDescent="0.25"/>
    <row r="42" spans="1:48" s="15" customFormat="1" ht="13.5" outlineLevel="1" x14ac:dyDescent="0.25">
      <c r="B42" s="715" t="s">
        <v>914</v>
      </c>
      <c r="C42" s="719"/>
      <c r="D42" s="432">
        <v>2026</v>
      </c>
      <c r="E42" s="432">
        <f>D42+1</f>
        <v>2027</v>
      </c>
      <c r="F42" s="432">
        <f t="shared" ref="F42:AV42" si="0">E42+1</f>
        <v>2028</v>
      </c>
      <c r="G42" s="432">
        <f t="shared" si="0"/>
        <v>2029</v>
      </c>
      <c r="H42" s="432">
        <f t="shared" si="0"/>
        <v>2030</v>
      </c>
      <c r="I42" s="432">
        <f t="shared" si="0"/>
        <v>2031</v>
      </c>
      <c r="J42" s="432">
        <f t="shared" si="0"/>
        <v>2032</v>
      </c>
      <c r="K42" s="432">
        <f t="shared" si="0"/>
        <v>2033</v>
      </c>
      <c r="L42" s="432">
        <f t="shared" si="0"/>
        <v>2034</v>
      </c>
      <c r="M42" s="432">
        <f t="shared" si="0"/>
        <v>2035</v>
      </c>
      <c r="N42" s="432">
        <f>M42+1</f>
        <v>2036</v>
      </c>
      <c r="O42" s="432">
        <f t="shared" si="0"/>
        <v>2037</v>
      </c>
      <c r="P42" s="432">
        <f t="shared" si="0"/>
        <v>2038</v>
      </c>
      <c r="Q42" s="432">
        <f t="shared" si="0"/>
        <v>2039</v>
      </c>
      <c r="R42" s="432">
        <f t="shared" si="0"/>
        <v>2040</v>
      </c>
      <c r="S42" s="432">
        <f>R42+1</f>
        <v>2041</v>
      </c>
      <c r="T42" s="432">
        <f>S42+1</f>
        <v>2042</v>
      </c>
      <c r="U42" s="432">
        <f>T42+1</f>
        <v>2043</v>
      </c>
      <c r="V42" s="432">
        <f t="shared" si="0"/>
        <v>2044</v>
      </c>
      <c r="W42" s="432">
        <f t="shared" si="0"/>
        <v>2045</v>
      </c>
      <c r="X42" s="432">
        <f t="shared" si="0"/>
        <v>2046</v>
      </c>
      <c r="Y42" s="432">
        <f t="shared" si="0"/>
        <v>2047</v>
      </c>
      <c r="Z42" s="432">
        <f t="shared" si="0"/>
        <v>2048</v>
      </c>
      <c r="AA42" s="432">
        <f t="shared" si="0"/>
        <v>2049</v>
      </c>
      <c r="AB42" s="432">
        <f t="shared" si="0"/>
        <v>2050</v>
      </c>
      <c r="AC42" s="432">
        <f t="shared" si="0"/>
        <v>2051</v>
      </c>
      <c r="AD42" s="432">
        <f t="shared" si="0"/>
        <v>2052</v>
      </c>
      <c r="AE42" s="432">
        <f t="shared" si="0"/>
        <v>2053</v>
      </c>
      <c r="AF42" s="432">
        <f t="shared" si="0"/>
        <v>2054</v>
      </c>
      <c r="AG42" s="432">
        <f t="shared" si="0"/>
        <v>2055</v>
      </c>
      <c r="AH42" s="432">
        <f t="shared" si="0"/>
        <v>2056</v>
      </c>
      <c r="AI42" s="432">
        <f t="shared" si="0"/>
        <v>2057</v>
      </c>
      <c r="AJ42" s="432">
        <f t="shared" si="0"/>
        <v>2058</v>
      </c>
      <c r="AK42" s="432">
        <f t="shared" si="0"/>
        <v>2059</v>
      </c>
      <c r="AL42" s="432">
        <f t="shared" si="0"/>
        <v>2060</v>
      </c>
      <c r="AM42" s="432">
        <f t="shared" si="0"/>
        <v>2061</v>
      </c>
      <c r="AN42" s="432">
        <f t="shared" si="0"/>
        <v>2062</v>
      </c>
      <c r="AO42" s="432">
        <f t="shared" si="0"/>
        <v>2063</v>
      </c>
      <c r="AP42" s="432">
        <f t="shared" si="0"/>
        <v>2064</v>
      </c>
      <c r="AQ42" s="432">
        <f t="shared" si="0"/>
        <v>2065</v>
      </c>
      <c r="AR42" s="432">
        <f t="shared" si="0"/>
        <v>2066</v>
      </c>
      <c r="AS42" s="432">
        <f t="shared" si="0"/>
        <v>2067</v>
      </c>
      <c r="AT42" s="432">
        <f t="shared" si="0"/>
        <v>2068</v>
      </c>
      <c r="AU42" s="432">
        <f t="shared" si="0"/>
        <v>2069</v>
      </c>
      <c r="AV42" s="716">
        <f t="shared" si="0"/>
        <v>2070</v>
      </c>
    </row>
    <row r="43" spans="1:48" s="15" customFormat="1" ht="13.5" outlineLevel="1" x14ac:dyDescent="0.25">
      <c r="B43" s="816" t="s">
        <v>1438</v>
      </c>
      <c r="C43" s="815" t="s">
        <v>1439</v>
      </c>
      <c r="D43" s="686">
        <f>IF(OR(D42&lt;$C$7,D42&gt;$C$8),0,1)</f>
        <v>0</v>
      </c>
      <c r="E43" s="686">
        <f t="shared" ref="E43:T43" si="1">IF(OR(E42&lt;$C$7,E42&gt;$C$8),0,1)</f>
        <v>0</v>
      </c>
      <c r="F43" s="686">
        <f t="shared" si="1"/>
        <v>0</v>
      </c>
      <c r="G43" s="686">
        <f t="shared" si="1"/>
        <v>0</v>
      </c>
      <c r="H43" s="686">
        <f t="shared" si="1"/>
        <v>0</v>
      </c>
      <c r="I43" s="686">
        <f t="shared" si="1"/>
        <v>0</v>
      </c>
      <c r="J43" s="686">
        <f t="shared" si="1"/>
        <v>0</v>
      </c>
      <c r="K43" s="686">
        <f t="shared" si="1"/>
        <v>0</v>
      </c>
      <c r="L43" s="686">
        <f t="shared" si="1"/>
        <v>0</v>
      </c>
      <c r="M43" s="686">
        <f t="shared" si="1"/>
        <v>0</v>
      </c>
      <c r="N43" s="686">
        <f t="shared" si="1"/>
        <v>0</v>
      </c>
      <c r="O43" s="686">
        <f t="shared" si="1"/>
        <v>0</v>
      </c>
      <c r="P43" s="686">
        <f t="shared" si="1"/>
        <v>0</v>
      </c>
      <c r="Q43" s="686">
        <f t="shared" si="1"/>
        <v>0</v>
      </c>
      <c r="R43" s="686">
        <f t="shared" si="1"/>
        <v>1</v>
      </c>
      <c r="S43" s="686">
        <f t="shared" si="1"/>
        <v>1</v>
      </c>
      <c r="T43" s="686">
        <f t="shared" si="1"/>
        <v>1</v>
      </c>
      <c r="U43" s="686">
        <f t="shared" ref="U43" si="2">IF(OR(U42&lt;$C$7,U42&gt;$C$8),0,1)</f>
        <v>1</v>
      </c>
      <c r="V43" s="686">
        <f t="shared" ref="V43" si="3">IF(OR(V42&lt;$C$7,V42&gt;$C$8),0,1)</f>
        <v>1</v>
      </c>
      <c r="W43" s="686">
        <f t="shared" ref="W43" si="4">IF(OR(W42&lt;$C$7,W42&gt;$C$8),0,1)</f>
        <v>1</v>
      </c>
      <c r="X43" s="686">
        <f t="shared" ref="X43" si="5">IF(OR(X42&lt;$C$7,X42&gt;$C$8),0,1)</f>
        <v>0</v>
      </c>
      <c r="Y43" s="686">
        <f t="shared" ref="Y43" si="6">IF(OR(Y42&lt;$C$7,Y42&gt;$C$8),0,1)</f>
        <v>0</v>
      </c>
      <c r="Z43" s="686">
        <f t="shared" ref="Z43" si="7">IF(OR(Z42&lt;$C$7,Z42&gt;$C$8),0,1)</f>
        <v>0</v>
      </c>
      <c r="AA43" s="686">
        <f t="shared" ref="AA43" si="8">IF(OR(AA42&lt;$C$7,AA42&gt;$C$8),0,1)</f>
        <v>0</v>
      </c>
      <c r="AB43" s="686">
        <f t="shared" ref="AB43" si="9">IF(OR(AB42&lt;$C$7,AB42&gt;$C$8),0,1)</f>
        <v>0</v>
      </c>
      <c r="AC43" s="686">
        <f t="shared" ref="AC43" si="10">IF(OR(AC42&lt;$C$7,AC42&gt;$C$8),0,1)</f>
        <v>0</v>
      </c>
      <c r="AD43" s="686">
        <f t="shared" ref="AD43" si="11">IF(OR(AD42&lt;$C$7,AD42&gt;$C$8),0,1)</f>
        <v>0</v>
      </c>
      <c r="AE43" s="686">
        <f t="shared" ref="AE43" si="12">IF(OR(AE42&lt;$C$7,AE42&gt;$C$8),0,1)</f>
        <v>0</v>
      </c>
      <c r="AF43" s="686">
        <f t="shared" ref="AF43" si="13">IF(OR(AF42&lt;$C$7,AF42&gt;$C$8),0,1)</f>
        <v>0</v>
      </c>
      <c r="AG43" s="686">
        <f t="shared" ref="AG43" si="14">IF(OR(AG42&lt;$C$7,AG42&gt;$C$8),0,1)</f>
        <v>0</v>
      </c>
      <c r="AH43" s="686">
        <f t="shared" ref="AH43" si="15">IF(OR(AH42&lt;$C$7,AH42&gt;$C$8),0,1)</f>
        <v>0</v>
      </c>
      <c r="AI43" s="686">
        <f t="shared" ref="AI43:AJ43" si="16">IF(OR(AI42&lt;$C$7,AI42&gt;$C$8),0,1)</f>
        <v>0</v>
      </c>
      <c r="AJ43" s="686">
        <f t="shared" si="16"/>
        <v>0</v>
      </c>
      <c r="AK43" s="686">
        <f t="shared" ref="AK43" si="17">IF(OR(AK42&lt;$C$7,AK42&gt;$C$8),0,1)</f>
        <v>0</v>
      </c>
      <c r="AL43" s="686">
        <f t="shared" ref="AL43" si="18">IF(OR(AL42&lt;$C$7,AL42&gt;$C$8),0,1)</f>
        <v>0</v>
      </c>
      <c r="AM43" s="686">
        <f t="shared" ref="AM43" si="19">IF(OR(AM42&lt;$C$7,AM42&gt;$C$8),0,1)</f>
        <v>0</v>
      </c>
      <c r="AN43" s="686">
        <f t="shared" ref="AN43" si="20">IF(OR(AN42&lt;$C$7,AN42&gt;$C$8),0,1)</f>
        <v>0</v>
      </c>
      <c r="AO43" s="686">
        <f t="shared" ref="AO43" si="21">IF(OR(AO42&lt;$C$7,AO42&gt;$C$8),0,1)</f>
        <v>0</v>
      </c>
      <c r="AP43" s="686">
        <f t="shared" ref="AP43" si="22">IF(OR(AP42&lt;$C$7,AP42&gt;$C$8),0,1)</f>
        <v>0</v>
      </c>
      <c r="AQ43" s="686">
        <f t="shared" ref="AQ43" si="23">IF(OR(AQ42&lt;$C$7,AQ42&gt;$C$8),0,1)</f>
        <v>0</v>
      </c>
      <c r="AR43" s="686">
        <f t="shared" ref="AR43" si="24">IF(OR(AR42&lt;$C$7,AR42&gt;$C$8),0,1)</f>
        <v>0</v>
      </c>
      <c r="AS43" s="686">
        <f t="shared" ref="AS43" si="25">IF(OR(AS42&lt;$C$7,AS42&gt;$C$8),0,1)</f>
        <v>0</v>
      </c>
      <c r="AT43" s="686">
        <f t="shared" ref="AT43" si="26">IF(OR(AT42&lt;$C$7,AT42&gt;$C$8),0,1)</f>
        <v>0</v>
      </c>
      <c r="AU43" s="686">
        <f t="shared" ref="AU43" si="27">IF(OR(AU42&lt;$C$7,AU42&gt;$C$8),0,1)</f>
        <v>0</v>
      </c>
      <c r="AV43" s="687">
        <f t="shared" ref="AV43" si="28">IF(OR(AV42&lt;$C$7,AV42&gt;$C$8),0,1)</f>
        <v>0</v>
      </c>
    </row>
    <row r="44" spans="1:48" s="15" customFormat="1" ht="13.5" outlineLevel="1" x14ac:dyDescent="0.25">
      <c r="B44" s="817" t="s">
        <v>1440</v>
      </c>
      <c r="C44" s="818" t="s">
        <v>656</v>
      </c>
      <c r="D44" s="675">
        <f>C19</f>
        <v>35.552045067621037</v>
      </c>
      <c r="E44" s="675">
        <f>D44*(1+$C$20)</f>
        <v>35.196524616944828</v>
      </c>
      <c r="F44" s="675">
        <f t="shared" ref="F44:AV44" si="29">E44*(1+$C$20)</f>
        <v>34.844559370775379</v>
      </c>
      <c r="G44" s="675">
        <f t="shared" si="29"/>
        <v>34.496113777067627</v>
      </c>
      <c r="H44" s="675">
        <f t="shared" si="29"/>
        <v>34.151152639296953</v>
      </c>
      <c r="I44" s="675">
        <f t="shared" si="29"/>
        <v>33.809641112903982</v>
      </c>
      <c r="J44" s="675">
        <f t="shared" si="29"/>
        <v>33.471544701774945</v>
      </c>
      <c r="K44" s="675">
        <f t="shared" si="29"/>
        <v>33.136829254757195</v>
      </c>
      <c r="L44" s="675">
        <f t="shared" si="29"/>
        <v>32.805460962209622</v>
      </c>
      <c r="M44" s="675">
        <f t="shared" si="29"/>
        <v>32.477406352587529</v>
      </c>
      <c r="N44" s="675">
        <f t="shared" si="29"/>
        <v>32.152632289061657</v>
      </c>
      <c r="O44" s="675">
        <f t="shared" si="29"/>
        <v>31.831105966171041</v>
      </c>
      <c r="P44" s="675">
        <f t="shared" si="29"/>
        <v>31.512794906509331</v>
      </c>
      <c r="Q44" s="675">
        <f t="shared" si="29"/>
        <v>31.197666957444238</v>
      </c>
      <c r="R44" s="675">
        <f t="shared" si="29"/>
        <v>30.885690287869796</v>
      </c>
      <c r="S44" s="675">
        <f t="shared" si="29"/>
        <v>30.576833384991097</v>
      </c>
      <c r="T44" s="675">
        <f t="shared" si="29"/>
        <v>30.271065051141186</v>
      </c>
      <c r="U44" s="675">
        <f t="shared" si="29"/>
        <v>29.968354400629774</v>
      </c>
      <c r="V44" s="675">
        <f t="shared" si="29"/>
        <v>29.668670856623475</v>
      </c>
      <c r="W44" s="675">
        <f t="shared" si="29"/>
        <v>29.371984148057241</v>
      </c>
      <c r="X44" s="675">
        <f t="shared" si="29"/>
        <v>29.078264306576667</v>
      </c>
      <c r="Y44" s="675">
        <f t="shared" si="29"/>
        <v>28.787481663510899</v>
      </c>
      <c r="Z44" s="675">
        <f t="shared" si="29"/>
        <v>28.499606846875789</v>
      </c>
      <c r="AA44" s="675">
        <f t="shared" si="29"/>
        <v>28.214610778407032</v>
      </c>
      <c r="AB44" s="675">
        <f t="shared" si="29"/>
        <v>27.932464670622959</v>
      </c>
      <c r="AC44" s="675">
        <f t="shared" si="29"/>
        <v>27.65314002391673</v>
      </c>
      <c r="AD44" s="675">
        <f t="shared" si="29"/>
        <v>27.376608623677562</v>
      </c>
      <c r="AE44" s="675">
        <f t="shared" si="29"/>
        <v>27.102842537440786</v>
      </c>
      <c r="AF44" s="675">
        <f t="shared" si="29"/>
        <v>26.831814112066379</v>
      </c>
      <c r="AG44" s="675">
        <f t="shared" si="29"/>
        <v>26.563495970945716</v>
      </c>
      <c r="AH44" s="675">
        <f t="shared" si="29"/>
        <v>26.297861011236257</v>
      </c>
      <c r="AI44" s="675">
        <f t="shared" si="29"/>
        <v>26.034882401123895</v>
      </c>
      <c r="AJ44" s="675">
        <f t="shared" si="29"/>
        <v>25.774533577112656</v>
      </c>
      <c r="AK44" s="675">
        <f t="shared" si="29"/>
        <v>25.51678824134153</v>
      </c>
      <c r="AL44" s="675">
        <f t="shared" si="29"/>
        <v>25.261620358928113</v>
      </c>
      <c r="AM44" s="675">
        <f t="shared" si="29"/>
        <v>25.009004155338832</v>
      </c>
      <c r="AN44" s="675">
        <f t="shared" si="29"/>
        <v>24.758914113785444</v>
      </c>
      <c r="AO44" s="675">
        <f t="shared" si="29"/>
        <v>24.511324972647589</v>
      </c>
      <c r="AP44" s="675">
        <f t="shared" si="29"/>
        <v>24.266211722921113</v>
      </c>
      <c r="AQ44" s="675">
        <f t="shared" si="29"/>
        <v>24.023549605691901</v>
      </c>
      <c r="AR44" s="675">
        <f t="shared" si="29"/>
        <v>23.783314109634983</v>
      </c>
      <c r="AS44" s="675">
        <f t="shared" si="29"/>
        <v>23.545480968538634</v>
      </c>
      <c r="AT44" s="675">
        <f t="shared" si="29"/>
        <v>23.310026158853248</v>
      </c>
      <c r="AU44" s="675">
        <f t="shared" si="29"/>
        <v>23.076925897264715</v>
      </c>
      <c r="AV44" s="676">
        <f t="shared" si="29"/>
        <v>22.846156638292069</v>
      </c>
    </row>
    <row r="45" spans="1:48" s="15" customFormat="1" ht="13.5" outlineLevel="1" x14ac:dyDescent="0.25">
      <c r="B45" s="816" t="s">
        <v>1441</v>
      </c>
      <c r="C45" s="815" t="s">
        <v>1434</v>
      </c>
      <c r="D45" s="848">
        <f>C18</f>
        <v>0.8</v>
      </c>
      <c r="E45" s="848">
        <f>D45*(1+$C$20)</f>
        <v>0.79200000000000004</v>
      </c>
      <c r="F45" s="848">
        <f t="shared" ref="F45:AV45" si="30">E45*(1+$C$20)</f>
        <v>0.78408</v>
      </c>
      <c r="G45" s="848">
        <f t="shared" si="30"/>
        <v>0.77623920000000002</v>
      </c>
      <c r="H45" s="848">
        <f t="shared" si="30"/>
        <v>0.76847680799999996</v>
      </c>
      <c r="I45" s="848">
        <f t="shared" si="30"/>
        <v>0.76079203992</v>
      </c>
      <c r="J45" s="848">
        <f t="shared" si="30"/>
        <v>0.7531841195208</v>
      </c>
      <c r="K45" s="848">
        <f t="shared" si="30"/>
        <v>0.745652278325592</v>
      </c>
      <c r="L45" s="848">
        <f t="shared" si="30"/>
        <v>0.73819575554233607</v>
      </c>
      <c r="M45" s="848">
        <f t="shared" si="30"/>
        <v>0.73081379798691271</v>
      </c>
      <c r="N45" s="848">
        <f t="shared" si="30"/>
        <v>0.72350566000704353</v>
      </c>
      <c r="O45" s="848">
        <f t="shared" si="30"/>
        <v>0.71627060340697313</v>
      </c>
      <c r="P45" s="848">
        <f t="shared" si="30"/>
        <v>0.70910789737290336</v>
      </c>
      <c r="Q45" s="848">
        <f t="shared" si="30"/>
        <v>0.70201681839917429</v>
      </c>
      <c r="R45" s="848">
        <f t="shared" si="30"/>
        <v>0.69499665021518253</v>
      </c>
      <c r="S45" s="848">
        <f t="shared" si="30"/>
        <v>0.68804668371303068</v>
      </c>
      <c r="T45" s="848">
        <f t="shared" si="30"/>
        <v>0.6811662168759004</v>
      </c>
      <c r="U45" s="848">
        <f t="shared" si="30"/>
        <v>0.67435455470714134</v>
      </c>
      <c r="V45" s="848">
        <f t="shared" si="30"/>
        <v>0.66761100916006988</v>
      </c>
      <c r="W45" s="848">
        <f t="shared" si="30"/>
        <v>0.66093489906846914</v>
      </c>
      <c r="X45" s="848">
        <f t="shared" si="30"/>
        <v>0.65432555007778448</v>
      </c>
      <c r="Y45" s="848">
        <f t="shared" si="30"/>
        <v>0.64778229457700665</v>
      </c>
      <c r="Z45" s="848">
        <f t="shared" si="30"/>
        <v>0.64130447163123661</v>
      </c>
      <c r="AA45" s="848">
        <f t="shared" si="30"/>
        <v>0.63489142691492428</v>
      </c>
      <c r="AB45" s="848">
        <f t="shared" si="30"/>
        <v>0.62854251264577499</v>
      </c>
      <c r="AC45" s="848">
        <f t="shared" si="30"/>
        <v>0.62225708751931719</v>
      </c>
      <c r="AD45" s="848">
        <f t="shared" si="30"/>
        <v>0.61603451664412401</v>
      </c>
      <c r="AE45" s="848">
        <f t="shared" si="30"/>
        <v>0.60987417147768275</v>
      </c>
      <c r="AF45" s="848">
        <f t="shared" si="30"/>
        <v>0.60377542976290588</v>
      </c>
      <c r="AG45" s="848">
        <f t="shared" si="30"/>
        <v>0.59773767546527679</v>
      </c>
      <c r="AH45" s="848">
        <f t="shared" si="30"/>
        <v>0.59176029871062397</v>
      </c>
      <c r="AI45" s="848">
        <f t="shared" si="30"/>
        <v>0.58584269572351777</v>
      </c>
      <c r="AJ45" s="848">
        <f t="shared" si="30"/>
        <v>0.57998426876628262</v>
      </c>
      <c r="AK45" s="848">
        <f t="shared" si="30"/>
        <v>0.57418442607861975</v>
      </c>
      <c r="AL45" s="848">
        <f t="shared" si="30"/>
        <v>0.56844258181783358</v>
      </c>
      <c r="AM45" s="848">
        <f t="shared" si="30"/>
        <v>0.56275815599965529</v>
      </c>
      <c r="AN45" s="848">
        <f t="shared" si="30"/>
        <v>0.55713057443965874</v>
      </c>
      <c r="AO45" s="848">
        <f t="shared" si="30"/>
        <v>0.55155926869526217</v>
      </c>
      <c r="AP45" s="848">
        <f t="shared" si="30"/>
        <v>0.5460436760083095</v>
      </c>
      <c r="AQ45" s="848">
        <f t="shared" si="30"/>
        <v>0.54058323924822638</v>
      </c>
      <c r="AR45" s="848">
        <f t="shared" si="30"/>
        <v>0.53517740685574411</v>
      </c>
      <c r="AS45" s="848">
        <f t="shared" si="30"/>
        <v>0.52982563278718664</v>
      </c>
      <c r="AT45" s="848">
        <f t="shared" si="30"/>
        <v>0.5245273764593148</v>
      </c>
      <c r="AU45" s="848">
        <f t="shared" si="30"/>
        <v>0.51928210269472164</v>
      </c>
      <c r="AV45" s="849">
        <f t="shared" si="30"/>
        <v>0.51408928166777446</v>
      </c>
    </row>
    <row r="46" spans="1:48" s="15" customFormat="1" ht="13.5" outlineLevel="1" x14ac:dyDescent="0.25">
      <c r="B46" s="817" t="s">
        <v>1442</v>
      </c>
      <c r="C46" s="818" t="s">
        <v>1443</v>
      </c>
      <c r="D46" s="675">
        <f>D14</f>
        <v>339.4877697841726</v>
      </c>
      <c r="E46" s="675">
        <f t="shared" ref="E46:AV46" si="31">D46-E43*$C$21*$D$14/$C$9</f>
        <v>339.4877697841726</v>
      </c>
      <c r="F46" s="675">
        <f t="shared" si="31"/>
        <v>339.4877697841726</v>
      </c>
      <c r="G46" s="675">
        <f t="shared" si="31"/>
        <v>339.4877697841726</v>
      </c>
      <c r="H46" s="675">
        <f t="shared" si="31"/>
        <v>339.4877697841726</v>
      </c>
      <c r="I46" s="675">
        <f t="shared" si="31"/>
        <v>339.4877697841726</v>
      </c>
      <c r="J46" s="675">
        <f t="shared" si="31"/>
        <v>339.4877697841726</v>
      </c>
      <c r="K46" s="675">
        <f t="shared" si="31"/>
        <v>339.4877697841726</v>
      </c>
      <c r="L46" s="675">
        <f t="shared" si="31"/>
        <v>339.4877697841726</v>
      </c>
      <c r="M46" s="675">
        <f t="shared" si="31"/>
        <v>339.4877697841726</v>
      </c>
      <c r="N46" s="675">
        <f t="shared" si="31"/>
        <v>339.4877697841726</v>
      </c>
      <c r="O46" s="675">
        <f t="shared" si="31"/>
        <v>339.4877697841726</v>
      </c>
      <c r="P46" s="675">
        <f t="shared" si="31"/>
        <v>339.4877697841726</v>
      </c>
      <c r="Q46" s="675">
        <f t="shared" si="31"/>
        <v>339.4877697841726</v>
      </c>
      <c r="R46" s="675">
        <f t="shared" si="31"/>
        <v>311.19712230215822</v>
      </c>
      <c r="S46" s="675">
        <f t="shared" si="31"/>
        <v>282.90647482014384</v>
      </c>
      <c r="T46" s="675">
        <f t="shared" si="31"/>
        <v>254.61582733812946</v>
      </c>
      <c r="U46" s="675">
        <f t="shared" si="31"/>
        <v>226.32517985611508</v>
      </c>
      <c r="V46" s="675">
        <f t="shared" si="31"/>
        <v>198.03453237410071</v>
      </c>
      <c r="W46" s="675">
        <f t="shared" si="31"/>
        <v>169.74388489208633</v>
      </c>
      <c r="X46" s="675">
        <f t="shared" si="31"/>
        <v>169.74388489208633</v>
      </c>
      <c r="Y46" s="675">
        <f t="shared" si="31"/>
        <v>169.74388489208633</v>
      </c>
      <c r="Z46" s="675">
        <f t="shared" si="31"/>
        <v>169.74388489208633</v>
      </c>
      <c r="AA46" s="675">
        <f t="shared" si="31"/>
        <v>169.74388489208633</v>
      </c>
      <c r="AB46" s="675">
        <f t="shared" si="31"/>
        <v>169.74388489208633</v>
      </c>
      <c r="AC46" s="675">
        <f t="shared" si="31"/>
        <v>169.74388489208633</v>
      </c>
      <c r="AD46" s="675">
        <f t="shared" si="31"/>
        <v>169.74388489208633</v>
      </c>
      <c r="AE46" s="675">
        <f t="shared" si="31"/>
        <v>169.74388489208633</v>
      </c>
      <c r="AF46" s="675">
        <f t="shared" si="31"/>
        <v>169.74388489208633</v>
      </c>
      <c r="AG46" s="675">
        <f t="shared" si="31"/>
        <v>169.74388489208633</v>
      </c>
      <c r="AH46" s="675">
        <f t="shared" si="31"/>
        <v>169.74388489208633</v>
      </c>
      <c r="AI46" s="675">
        <f t="shared" si="31"/>
        <v>169.74388489208633</v>
      </c>
      <c r="AJ46" s="675">
        <f t="shared" si="31"/>
        <v>169.74388489208633</v>
      </c>
      <c r="AK46" s="675">
        <f t="shared" si="31"/>
        <v>169.74388489208633</v>
      </c>
      <c r="AL46" s="675">
        <f t="shared" si="31"/>
        <v>169.74388489208633</v>
      </c>
      <c r="AM46" s="675">
        <f t="shared" si="31"/>
        <v>169.74388489208633</v>
      </c>
      <c r="AN46" s="675">
        <f t="shared" si="31"/>
        <v>169.74388489208633</v>
      </c>
      <c r="AO46" s="675">
        <f t="shared" si="31"/>
        <v>169.74388489208633</v>
      </c>
      <c r="AP46" s="675">
        <f t="shared" si="31"/>
        <v>169.74388489208633</v>
      </c>
      <c r="AQ46" s="675">
        <f t="shared" si="31"/>
        <v>169.74388489208633</v>
      </c>
      <c r="AR46" s="675">
        <f t="shared" si="31"/>
        <v>169.74388489208633</v>
      </c>
      <c r="AS46" s="675">
        <f t="shared" si="31"/>
        <v>169.74388489208633</v>
      </c>
      <c r="AT46" s="675">
        <f t="shared" si="31"/>
        <v>169.74388489208633</v>
      </c>
      <c r="AU46" s="675">
        <f t="shared" si="31"/>
        <v>169.74388489208633</v>
      </c>
      <c r="AV46" s="676">
        <f t="shared" si="31"/>
        <v>169.74388489208633</v>
      </c>
    </row>
    <row r="47" spans="1:48" s="15" customFormat="1" ht="13.5" outlineLevel="1" x14ac:dyDescent="0.25">
      <c r="B47" s="816" t="s">
        <v>1444</v>
      </c>
      <c r="C47" s="815" t="s">
        <v>657</v>
      </c>
      <c r="D47" s="686">
        <f>D46*$C$17</f>
        <v>3394.8776978417259</v>
      </c>
      <c r="E47" s="686">
        <f>E46*$C$17</f>
        <v>3394.8776978417259</v>
      </c>
      <c r="F47" s="686">
        <f t="shared" ref="F47:AV47" si="32">F46*$C$17</f>
        <v>3394.8776978417259</v>
      </c>
      <c r="G47" s="686">
        <f t="shared" si="32"/>
        <v>3394.8776978417259</v>
      </c>
      <c r="H47" s="686">
        <f t="shared" si="32"/>
        <v>3394.8776978417259</v>
      </c>
      <c r="I47" s="686">
        <f t="shared" si="32"/>
        <v>3394.8776978417259</v>
      </c>
      <c r="J47" s="686">
        <f t="shared" si="32"/>
        <v>3394.8776978417259</v>
      </c>
      <c r="K47" s="686">
        <f t="shared" si="32"/>
        <v>3394.8776978417259</v>
      </c>
      <c r="L47" s="686">
        <f t="shared" si="32"/>
        <v>3394.8776978417259</v>
      </c>
      <c r="M47" s="686">
        <f t="shared" si="32"/>
        <v>3394.8776978417259</v>
      </c>
      <c r="N47" s="686">
        <f t="shared" si="32"/>
        <v>3394.8776978417259</v>
      </c>
      <c r="O47" s="686">
        <f t="shared" si="32"/>
        <v>3394.8776978417259</v>
      </c>
      <c r="P47" s="686">
        <f t="shared" si="32"/>
        <v>3394.8776978417259</v>
      </c>
      <c r="Q47" s="686">
        <f t="shared" si="32"/>
        <v>3394.8776978417259</v>
      </c>
      <c r="R47" s="686">
        <f t="shared" si="32"/>
        <v>3111.9712230215823</v>
      </c>
      <c r="S47" s="686">
        <f t="shared" si="32"/>
        <v>2829.0647482014383</v>
      </c>
      <c r="T47" s="686">
        <f t="shared" si="32"/>
        <v>2546.1582733812947</v>
      </c>
      <c r="U47" s="686">
        <f t="shared" si="32"/>
        <v>2263.2517985611507</v>
      </c>
      <c r="V47" s="686">
        <f t="shared" si="32"/>
        <v>1980.3453237410072</v>
      </c>
      <c r="W47" s="686">
        <f t="shared" si="32"/>
        <v>1697.4388489208632</v>
      </c>
      <c r="X47" s="686">
        <f t="shared" si="32"/>
        <v>1697.4388489208632</v>
      </c>
      <c r="Y47" s="686">
        <f t="shared" si="32"/>
        <v>1697.4388489208632</v>
      </c>
      <c r="Z47" s="686">
        <f t="shared" si="32"/>
        <v>1697.4388489208632</v>
      </c>
      <c r="AA47" s="686">
        <f t="shared" si="32"/>
        <v>1697.4388489208632</v>
      </c>
      <c r="AB47" s="686">
        <f t="shared" si="32"/>
        <v>1697.4388489208632</v>
      </c>
      <c r="AC47" s="686">
        <f t="shared" si="32"/>
        <v>1697.4388489208632</v>
      </c>
      <c r="AD47" s="686">
        <f t="shared" si="32"/>
        <v>1697.4388489208632</v>
      </c>
      <c r="AE47" s="686">
        <f t="shared" si="32"/>
        <v>1697.4388489208632</v>
      </c>
      <c r="AF47" s="686">
        <f t="shared" si="32"/>
        <v>1697.4388489208632</v>
      </c>
      <c r="AG47" s="686">
        <f t="shared" si="32"/>
        <v>1697.4388489208632</v>
      </c>
      <c r="AH47" s="686">
        <f t="shared" si="32"/>
        <v>1697.4388489208632</v>
      </c>
      <c r="AI47" s="686">
        <f t="shared" si="32"/>
        <v>1697.4388489208632</v>
      </c>
      <c r="AJ47" s="686">
        <f t="shared" si="32"/>
        <v>1697.4388489208632</v>
      </c>
      <c r="AK47" s="686">
        <f t="shared" si="32"/>
        <v>1697.4388489208632</v>
      </c>
      <c r="AL47" s="686">
        <f t="shared" si="32"/>
        <v>1697.4388489208632</v>
      </c>
      <c r="AM47" s="686">
        <f t="shared" si="32"/>
        <v>1697.4388489208632</v>
      </c>
      <c r="AN47" s="686">
        <f t="shared" si="32"/>
        <v>1697.4388489208632</v>
      </c>
      <c r="AO47" s="686">
        <f t="shared" si="32"/>
        <v>1697.4388489208632</v>
      </c>
      <c r="AP47" s="686">
        <f t="shared" si="32"/>
        <v>1697.4388489208632</v>
      </c>
      <c r="AQ47" s="686">
        <f t="shared" si="32"/>
        <v>1697.4388489208632</v>
      </c>
      <c r="AR47" s="686">
        <f t="shared" si="32"/>
        <v>1697.4388489208632</v>
      </c>
      <c r="AS47" s="686">
        <f t="shared" si="32"/>
        <v>1697.4388489208632</v>
      </c>
      <c r="AT47" s="686">
        <f t="shared" si="32"/>
        <v>1697.4388489208632</v>
      </c>
      <c r="AU47" s="686">
        <f t="shared" si="32"/>
        <v>1697.4388489208632</v>
      </c>
      <c r="AV47" s="687">
        <f t="shared" si="32"/>
        <v>1697.4388489208632</v>
      </c>
    </row>
    <row r="48" spans="1:48" s="15" customFormat="1" ht="13.5" outlineLevel="1" x14ac:dyDescent="0.25">
      <c r="B48" s="817" t="s">
        <v>1326</v>
      </c>
      <c r="C48" s="818" t="s">
        <v>1327</v>
      </c>
      <c r="D48" s="675">
        <f>D47/100*D44</f>
        <v>1206.9484491273058</v>
      </c>
      <c r="E48" s="675">
        <f>E47/100*E44</f>
        <v>1194.8789646360328</v>
      </c>
      <c r="F48" s="675">
        <f t="shared" ref="F48:AV48" si="33">F47/100*F44</f>
        <v>1182.9301749896724</v>
      </c>
      <c r="G48" s="675">
        <f t="shared" si="33"/>
        <v>1171.1008732397759</v>
      </c>
      <c r="H48" s="675">
        <f t="shared" si="33"/>
        <v>1159.3898645073782</v>
      </c>
      <c r="I48" s="675">
        <f t="shared" si="33"/>
        <v>1147.7959658623042</v>
      </c>
      <c r="J48" s="675">
        <f t="shared" si="33"/>
        <v>1136.3180062036813</v>
      </c>
      <c r="K48" s="675">
        <f t="shared" si="33"/>
        <v>1124.9548261416446</v>
      </c>
      <c r="L48" s="675">
        <f t="shared" si="33"/>
        <v>1113.7052778802281</v>
      </c>
      <c r="M48" s="675">
        <f t="shared" si="33"/>
        <v>1102.5682251014259</v>
      </c>
      <c r="N48" s="675">
        <f t="shared" si="33"/>
        <v>1091.5425428504118</v>
      </c>
      <c r="O48" s="675">
        <f t="shared" si="33"/>
        <v>1080.6271174219075</v>
      </c>
      <c r="P48" s="675">
        <f t="shared" si="33"/>
        <v>1069.8208462476887</v>
      </c>
      <c r="Q48" s="675">
        <f t="shared" si="33"/>
        <v>1059.1226377852117</v>
      </c>
      <c r="R48" s="675">
        <f t="shared" si="33"/>
        <v>961.15379379007982</v>
      </c>
      <c r="S48" s="675">
        <f t="shared" si="33"/>
        <v>865.0384144110717</v>
      </c>
      <c r="T48" s="675">
        <f t="shared" si="33"/>
        <v>770.74922724026487</v>
      </c>
      <c r="U48" s="675">
        <f t="shared" si="33"/>
        <v>678.25931997143311</v>
      </c>
      <c r="V48" s="675">
        <f t="shared" si="33"/>
        <v>587.542135925254</v>
      </c>
      <c r="W48" s="675">
        <f t="shared" si="33"/>
        <v>498.57146962800124</v>
      </c>
      <c r="X48" s="675">
        <f t="shared" si="33"/>
        <v>493.58575493172123</v>
      </c>
      <c r="Y48" s="675">
        <f t="shared" si="33"/>
        <v>488.64989738240399</v>
      </c>
      <c r="Z48" s="675">
        <f t="shared" si="33"/>
        <v>483.76339840857992</v>
      </c>
      <c r="AA48" s="675">
        <f t="shared" si="33"/>
        <v>478.9257644244941</v>
      </c>
      <c r="AB48" s="675">
        <f t="shared" si="33"/>
        <v>474.13650678024914</v>
      </c>
      <c r="AC48" s="675">
        <f t="shared" si="33"/>
        <v>469.39514171244667</v>
      </c>
      <c r="AD48" s="675">
        <f t="shared" si="33"/>
        <v>464.70119029532219</v>
      </c>
      <c r="AE48" s="675">
        <f t="shared" si="33"/>
        <v>460.05417839236895</v>
      </c>
      <c r="AF48" s="675">
        <f t="shared" si="33"/>
        <v>455.45363660844527</v>
      </c>
      <c r="AG48" s="675">
        <f t="shared" si="33"/>
        <v>450.89910024236082</v>
      </c>
      <c r="AH48" s="675">
        <f t="shared" si="33"/>
        <v>446.3901092399372</v>
      </c>
      <c r="AI48" s="675">
        <f t="shared" si="33"/>
        <v>441.92620814753781</v>
      </c>
      <c r="AJ48" s="675">
        <f t="shared" si="33"/>
        <v>437.50694606606248</v>
      </c>
      <c r="AK48" s="675">
        <f t="shared" si="33"/>
        <v>433.13187660540183</v>
      </c>
      <c r="AL48" s="675">
        <f t="shared" si="33"/>
        <v>428.80055783934779</v>
      </c>
      <c r="AM48" s="675">
        <f t="shared" si="33"/>
        <v>424.51255226095435</v>
      </c>
      <c r="AN48" s="675">
        <f t="shared" si="33"/>
        <v>420.2674267383448</v>
      </c>
      <c r="AO48" s="675">
        <f t="shared" si="33"/>
        <v>416.06475247096131</v>
      </c>
      <c r="AP48" s="675">
        <f t="shared" si="33"/>
        <v>411.90410494625172</v>
      </c>
      <c r="AQ48" s="675">
        <f t="shared" si="33"/>
        <v>407.78506389678915</v>
      </c>
      <c r="AR48" s="675">
        <f t="shared" si="33"/>
        <v>403.70721325782131</v>
      </c>
      <c r="AS48" s="675">
        <f t="shared" si="33"/>
        <v>399.67014112524311</v>
      </c>
      <c r="AT48" s="675">
        <f t="shared" si="33"/>
        <v>395.67343971399066</v>
      </c>
      <c r="AU48" s="675">
        <f t="shared" si="33"/>
        <v>391.71670531685078</v>
      </c>
      <c r="AV48" s="676">
        <f t="shared" si="33"/>
        <v>387.79953826368228</v>
      </c>
    </row>
    <row r="49" spans="2:48" s="39" customFormat="1" ht="13.5" outlineLevel="1" x14ac:dyDescent="0.25">
      <c r="B49" s="689" t="s">
        <v>1261</v>
      </c>
      <c r="C49" s="693" t="s">
        <v>853</v>
      </c>
      <c r="D49" s="710">
        <f>$E$14-D47*C18</f>
        <v>0</v>
      </c>
      <c r="E49" s="710">
        <f>$E$14-E47*E45</f>
        <v>27.159021582733658</v>
      </c>
      <c r="F49" s="710">
        <f t="shared" ref="F49:AV49" si="34">$E$14-F47*F45</f>
        <v>54.046452949640297</v>
      </c>
      <c r="G49" s="710">
        <f t="shared" si="34"/>
        <v>80.665010002877807</v>
      </c>
      <c r="H49" s="710">
        <f t="shared" si="34"/>
        <v>107.01738148558297</v>
      </c>
      <c r="I49" s="710">
        <f t="shared" si="34"/>
        <v>133.1062292534607</v>
      </c>
      <c r="J49" s="710">
        <f t="shared" si="34"/>
        <v>158.93418854366018</v>
      </c>
      <c r="K49" s="710">
        <f t="shared" si="34"/>
        <v>184.50386824095722</v>
      </c>
      <c r="L49" s="710">
        <f t="shared" si="34"/>
        <v>209.81785114128161</v>
      </c>
      <c r="M49" s="710">
        <f t="shared" si="34"/>
        <v>234.87869421260257</v>
      </c>
      <c r="N49" s="710">
        <f t="shared" si="34"/>
        <v>259.6889288532102</v>
      </c>
      <c r="O49" s="710">
        <f t="shared" si="34"/>
        <v>284.2510611474122</v>
      </c>
      <c r="P49" s="710">
        <f t="shared" si="34"/>
        <v>308.56757211867171</v>
      </c>
      <c r="Q49" s="710">
        <f t="shared" si="34"/>
        <v>332.640917980219</v>
      </c>
      <c r="R49" s="710">
        <f t="shared" si="34"/>
        <v>553.09258270733653</v>
      </c>
      <c r="S49" s="710">
        <f t="shared" si="34"/>
        <v>769.37354026394109</v>
      </c>
      <c r="T49" s="710">
        <f t="shared" si="34"/>
        <v>981.54515962696973</v>
      </c>
      <c r="U49" s="710">
        <f t="shared" si="34"/>
        <v>1189.6679994645392</v>
      </c>
      <c r="V49" s="710">
        <f t="shared" si="34"/>
        <v>1393.8018182052217</v>
      </c>
      <c r="W49" s="710">
        <f t="shared" si="34"/>
        <v>1594.0055839869717</v>
      </c>
      <c r="X49" s="710">
        <f t="shared" si="34"/>
        <v>1605.2245497298356</v>
      </c>
      <c r="Y49" s="710">
        <f t="shared" si="34"/>
        <v>1616.3313258152712</v>
      </c>
      <c r="Z49" s="710">
        <f t="shared" si="34"/>
        <v>1627.3270341398522</v>
      </c>
      <c r="AA49" s="710">
        <f t="shared" si="34"/>
        <v>1638.2127853811874</v>
      </c>
      <c r="AB49" s="710">
        <f t="shared" si="34"/>
        <v>1648.9896791101094</v>
      </c>
      <c r="AC49" s="710">
        <f t="shared" si="34"/>
        <v>1659.6588039017422</v>
      </c>
      <c r="AD49" s="710">
        <f t="shared" si="34"/>
        <v>1670.2212374454587</v>
      </c>
      <c r="AE49" s="710">
        <f t="shared" si="34"/>
        <v>1680.678046653738</v>
      </c>
      <c r="AF49" s="710">
        <f t="shared" si="34"/>
        <v>1691.0302877699344</v>
      </c>
      <c r="AG49" s="710">
        <f t="shared" si="34"/>
        <v>1701.2790064749688</v>
      </c>
      <c r="AH49" s="710">
        <f t="shared" si="34"/>
        <v>1711.425237992953</v>
      </c>
      <c r="AI49" s="710">
        <f t="shared" si="34"/>
        <v>1721.4700071957573</v>
      </c>
      <c r="AJ49" s="710">
        <f t="shared" si="34"/>
        <v>1731.4143287065335</v>
      </c>
      <c r="AK49" s="710">
        <f t="shared" si="34"/>
        <v>1741.2592070022019</v>
      </c>
      <c r="AL49" s="710">
        <f t="shared" si="34"/>
        <v>1751.0056365149139</v>
      </c>
      <c r="AM49" s="710">
        <f t="shared" si="34"/>
        <v>1760.6546017324983</v>
      </c>
      <c r="AN49" s="710">
        <f t="shared" si="34"/>
        <v>1770.2070772979073</v>
      </c>
      <c r="AO49" s="710">
        <f t="shared" si="34"/>
        <v>1779.664028107662</v>
      </c>
      <c r="AP49" s="710">
        <f t="shared" si="34"/>
        <v>1789.0264094093191</v>
      </c>
      <c r="AQ49" s="710">
        <f t="shared" si="34"/>
        <v>1798.2951668979599</v>
      </c>
      <c r="AR49" s="710">
        <f t="shared" si="34"/>
        <v>1807.4712368117139</v>
      </c>
      <c r="AS49" s="710">
        <f t="shared" si="34"/>
        <v>1816.5555460263308</v>
      </c>
      <c r="AT49" s="710">
        <f t="shared" si="34"/>
        <v>1825.5490121488012</v>
      </c>
      <c r="AU49" s="710">
        <f t="shared" si="34"/>
        <v>1834.4525436100471</v>
      </c>
      <c r="AV49" s="426">
        <f t="shared" si="34"/>
        <v>1843.2670397566803</v>
      </c>
    </row>
    <row r="51" spans="2:48" x14ac:dyDescent="0.25">
      <c r="B51" s="125"/>
    </row>
    <row r="52" spans="2:48" x14ac:dyDescent="0.25">
      <c r="B52" s="294"/>
      <c r="C52" s="127"/>
    </row>
    <row r="53" spans="2:48" x14ac:dyDescent="0.25">
      <c r="B53" s="294"/>
      <c r="C53" s="128"/>
    </row>
    <row r="54" spans="2:48" x14ac:dyDescent="0.25">
      <c r="B54" s="294"/>
      <c r="C54" s="128"/>
    </row>
    <row r="55" spans="2:48" x14ac:dyDescent="0.25">
      <c r="B55" s="129"/>
      <c r="C55" s="128"/>
      <c r="D55" s="130"/>
    </row>
    <row r="56" spans="2:48" x14ac:dyDescent="0.25">
      <c r="C56" s="128"/>
      <c r="D56" s="130"/>
    </row>
    <row r="57" spans="2:48" x14ac:dyDescent="0.25">
      <c r="C57" s="128"/>
      <c r="D57" s="131"/>
    </row>
    <row r="58" spans="2:48" x14ac:dyDescent="0.25">
      <c r="C58" s="127"/>
      <c r="D58" s="131"/>
    </row>
    <row r="59" spans="2:48" x14ac:dyDescent="0.25">
      <c r="C59" s="127"/>
      <c r="D59" s="131"/>
    </row>
    <row r="60" spans="2:48" x14ac:dyDescent="0.25">
      <c r="C60" s="127"/>
      <c r="D60" s="131"/>
    </row>
    <row r="61" spans="2:48" x14ac:dyDescent="0.25">
      <c r="C61" s="127"/>
      <c r="D61" s="131"/>
    </row>
  </sheetData>
  <sheetProtection algorithmName="SHA-512" hashValue="4bKH3Yx3DZyDPI1yozkAMWYGd9dUDorCsEVEMqZYzvZG6QChtMUJah9um+jxxkPfWfscR/cDmU/KgnaKtoqeDA==" saltValue="BVVUqWYCXo/piRajmTpt0w==" spinCount="100000" sheet="1" objects="1" scenarios="1" selectLockedCells="1"/>
  <mergeCells count="2">
    <mergeCell ref="B3:D3"/>
    <mergeCell ref="E3:L3"/>
  </mergeCells>
  <conditionalFormatting sqref="C36:C38">
    <cfRule type="containsText" dxfId="29" priority="1" operator="containsText" text="Kõrge">
      <formula>NOT(ISERROR(SEARCH("Kõrge",C36)))</formula>
    </cfRule>
    <cfRule type="containsText" dxfId="28" priority="2" operator="containsText" text="Mõõdukas">
      <formula>NOT(ISERROR(SEARCH("Mõõdukas",C36)))</formula>
    </cfRule>
    <cfRule type="containsText" dxfId="27" priority="3" operator="containsText" text="Madal">
      <formula>NOT(ISERROR(SEARCH("Madal",C36)))</formula>
    </cfRule>
  </conditionalFormatting>
  <dataValidations count="3">
    <dataValidation type="list" allowBlank="1" showInputMessage="1" showErrorMessage="1" sqref="C38" xr:uid="{D6094827-72B6-4D6B-90FE-19B1F6DFE437}">
      <formula1>I36:I38</formula1>
    </dataValidation>
    <dataValidation type="list" allowBlank="1" showInputMessage="1" showErrorMessage="1" sqref="C37" xr:uid="{BAD54B82-BF93-4F59-8EB1-0ADFA86ADAAE}">
      <formula1>I36:I38</formula1>
    </dataValidation>
    <dataValidation type="list" allowBlank="1" showInputMessage="1" showErrorMessage="1" sqref="C36" xr:uid="{35DED5A3-D2E8-413D-80E5-DDF0288D9FB8}">
      <formula1>I36:I38</formula1>
    </dataValidation>
  </dataValidations>
  <hyperlinks>
    <hyperlink ref="B1" location="MEETMED!A1" display="&lt;-MEETMETE NIMEKIRI" xr:uid="{80EA6035-5476-4484-9818-4B38214EC258}"/>
    <hyperlink ref="C15" r:id="rId1" xr:uid="{9EC493EA-E965-4AD7-A555-08805FBA9367}"/>
  </hyperlinks>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38EA0-648F-481E-A686-60402C8E5C2F}">
  <sheetPr>
    <tabColor theme="5" tint="0.79998168889431442"/>
  </sheetPr>
  <dimension ref="A1:AV71"/>
  <sheetViews>
    <sheetView showGridLines="0" workbookViewId="0">
      <selection activeCell="C8" sqref="C8"/>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7" width="11.85546875" customWidth="1"/>
    <col min="8" max="8" width="11.7109375" customWidth="1"/>
    <col min="9" max="9" width="12.5703125" customWidth="1"/>
    <col min="10" max="10" width="11.7109375"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56.25" customHeight="1" x14ac:dyDescent="0.25">
      <c r="A3" s="260" t="s">
        <v>1445</v>
      </c>
      <c r="B3" s="988" t="s">
        <v>1446</v>
      </c>
      <c r="C3" s="988"/>
      <c r="D3" s="988"/>
      <c r="E3" s="988"/>
      <c r="F3" s="990" t="s">
        <v>1447</v>
      </c>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O5" s="1"/>
      <c r="P5" s="1"/>
      <c r="Q5" s="1"/>
      <c r="R5" s="1"/>
      <c r="S5" s="1"/>
      <c r="T5" s="1"/>
      <c r="U5" s="1"/>
      <c r="V5" s="1"/>
      <c r="W5" s="1"/>
      <c r="X5" s="1"/>
      <c r="Y5" s="1"/>
      <c r="Z5" s="1"/>
      <c r="AA5" s="1"/>
    </row>
    <row r="6" spans="1:27" s="1" customFormat="1" ht="19.5" customHeight="1" outlineLevel="1" x14ac:dyDescent="0.25">
      <c r="B6" s="13" t="s">
        <v>1350</v>
      </c>
      <c r="D6" s="323"/>
      <c r="E6" s="323"/>
      <c r="F6" s="323"/>
      <c r="G6" s="323"/>
      <c r="H6" s="323"/>
      <c r="I6" s="323"/>
      <c r="J6" s="323"/>
    </row>
    <row r="7" spans="1:27" s="1" customFormat="1" ht="48.6" customHeight="1" outlineLevel="1" x14ac:dyDescent="0.25">
      <c r="B7" s="442" t="s">
        <v>1448</v>
      </c>
      <c r="C7" s="445" t="s">
        <v>1449</v>
      </c>
      <c r="D7" s="445" t="s">
        <v>1400</v>
      </c>
      <c r="E7" s="445" t="s">
        <v>1450</v>
      </c>
      <c r="F7" s="445" t="s">
        <v>1451</v>
      </c>
      <c r="G7" s="445" t="s">
        <v>1452</v>
      </c>
      <c r="H7" s="445" t="s">
        <v>1453</v>
      </c>
      <c r="I7" s="445" t="s">
        <v>1454</v>
      </c>
      <c r="J7" s="844" t="s">
        <v>1455</v>
      </c>
      <c r="L7" s="277" t="s">
        <v>876</v>
      </c>
    </row>
    <row r="8" spans="1:27" s="1" customFormat="1" outlineLevel="1" x14ac:dyDescent="0.25">
      <c r="B8" s="802" t="s">
        <v>1456</v>
      </c>
      <c r="C8" s="924">
        <v>1</v>
      </c>
      <c r="D8" s="924">
        <v>2030</v>
      </c>
      <c r="E8" s="934">
        <v>10</v>
      </c>
      <c r="F8" s="936">
        <v>0.5</v>
      </c>
      <c r="G8" s="924">
        <v>40</v>
      </c>
      <c r="H8" s="926">
        <v>0.12</v>
      </c>
      <c r="I8" s="926">
        <v>0.3</v>
      </c>
      <c r="J8" s="850">
        <f>1-I8</f>
        <v>0.7</v>
      </c>
      <c r="L8" s="893" t="s">
        <v>1670</v>
      </c>
      <c r="M8" s="305" t="s">
        <v>877</v>
      </c>
    </row>
    <row r="9" spans="1:27" s="1" customFormat="1" outlineLevel="1" x14ac:dyDescent="0.25">
      <c r="B9" s="802" t="s">
        <v>1457</v>
      </c>
      <c r="C9" s="924">
        <v>0</v>
      </c>
      <c r="D9" s="924">
        <v>2030</v>
      </c>
      <c r="E9" s="934">
        <v>0.1</v>
      </c>
      <c r="F9" s="937"/>
      <c r="G9" s="924">
        <v>40</v>
      </c>
      <c r="H9" s="926">
        <v>0.06</v>
      </c>
      <c r="I9" s="926">
        <v>0.3</v>
      </c>
      <c r="J9" s="850">
        <f>1-I9</f>
        <v>0.7</v>
      </c>
      <c r="L9" s="892" t="s">
        <v>878</v>
      </c>
      <c r="M9" s="305" t="s">
        <v>1669</v>
      </c>
    </row>
    <row r="10" spans="1:27" s="1" customFormat="1" outlineLevel="1" x14ac:dyDescent="0.25">
      <c r="B10" s="802" t="s">
        <v>1458</v>
      </c>
      <c r="C10" s="924">
        <v>0</v>
      </c>
      <c r="D10" s="924">
        <v>2030</v>
      </c>
      <c r="E10" s="934">
        <v>0.1</v>
      </c>
      <c r="F10" s="937"/>
      <c r="G10" s="924">
        <v>40</v>
      </c>
      <c r="H10" s="926">
        <v>0.04</v>
      </c>
      <c r="I10" s="926">
        <v>0.3</v>
      </c>
      <c r="J10" s="850">
        <f>1-I10</f>
        <v>0.7</v>
      </c>
      <c r="L10" s="892" t="s">
        <v>1671</v>
      </c>
      <c r="M10" s="228">
        <v>1234</v>
      </c>
    </row>
    <row r="11" spans="1:27" s="1" customFormat="1" outlineLevel="1" x14ac:dyDescent="0.25">
      <c r="B11" s="822"/>
      <c r="C11" s="424"/>
      <c r="S11" s="13"/>
    </row>
    <row r="12" spans="1:27" s="1" customFormat="1" outlineLevel="1" x14ac:dyDescent="0.25">
      <c r="B12" s="802" t="s">
        <v>1267</v>
      </c>
      <c r="C12" s="905">
        <v>5</v>
      </c>
      <c r="D12" s="7" t="s">
        <v>1232</v>
      </c>
      <c r="E12" s="309"/>
      <c r="F12" s="7" t="s">
        <v>1459</v>
      </c>
      <c r="G12" s="7"/>
      <c r="H12" s="7"/>
      <c r="I12" s="7"/>
      <c r="J12" s="7"/>
      <c r="K12" s="7"/>
      <c r="L12" s="7"/>
    </row>
    <row r="13" spans="1:27" s="1" customFormat="1" outlineLevel="1" x14ac:dyDescent="0.25">
      <c r="B13" s="802" t="s">
        <v>1268</v>
      </c>
      <c r="C13" s="905">
        <v>1.4</v>
      </c>
      <c r="D13" s="7" t="s">
        <v>1269</v>
      </c>
      <c r="E13" s="165"/>
      <c r="F13" s="7" t="s">
        <v>1270</v>
      </c>
      <c r="G13" s="7"/>
      <c r="H13" s="7"/>
      <c r="I13" s="7"/>
      <c r="J13" s="7"/>
      <c r="K13" s="7"/>
      <c r="L13" s="7"/>
    </row>
    <row r="14" spans="1:27" s="1" customFormat="1" outlineLevel="1" x14ac:dyDescent="0.25">
      <c r="B14" s="802" t="s">
        <v>1217</v>
      </c>
      <c r="C14" s="905">
        <v>1.5</v>
      </c>
      <c r="D14" s="7" t="s">
        <v>1218</v>
      </c>
      <c r="E14" s="305"/>
      <c r="F14" s="228" t="s">
        <v>1460</v>
      </c>
      <c r="G14" s="7"/>
      <c r="H14" s="7"/>
      <c r="I14" s="7"/>
      <c r="J14" s="7"/>
      <c r="K14" s="7"/>
      <c r="L14" s="7"/>
    </row>
    <row r="15" spans="1:27" s="1" customFormat="1" outlineLevel="1" x14ac:dyDescent="0.25">
      <c r="B15" s="802" t="s">
        <v>1275</v>
      </c>
      <c r="C15" s="905">
        <v>0.2</v>
      </c>
      <c r="D15" s="7" t="s">
        <v>1220</v>
      </c>
      <c r="E15" s="305"/>
      <c r="F15" s="7"/>
      <c r="G15" s="7"/>
      <c r="H15" s="7"/>
      <c r="I15" s="7"/>
      <c r="J15" s="7"/>
      <c r="K15" s="7"/>
      <c r="L15" s="7"/>
    </row>
    <row r="16" spans="1:27" s="1" customFormat="1" outlineLevel="1" x14ac:dyDescent="0.25">
      <c r="B16" s="802" t="s">
        <v>1222</v>
      </c>
      <c r="C16" s="904">
        <v>0.5</v>
      </c>
      <c r="D16" s="7" t="s">
        <v>1223</v>
      </c>
      <c r="E16" s="305"/>
      <c r="F16" s="7" t="s">
        <v>1385</v>
      </c>
      <c r="G16" s="7"/>
      <c r="H16" s="7"/>
      <c r="J16" s="7"/>
      <c r="K16" s="7"/>
      <c r="L16" s="7"/>
    </row>
    <row r="17" spans="1:34" s="1" customFormat="1" x14ac:dyDescent="0.25">
      <c r="B17" s="6"/>
      <c r="C17" s="6"/>
      <c r="D17" s="7"/>
      <c r="E17" s="7"/>
    </row>
    <row r="18" spans="1:34" x14ac:dyDescent="0.25">
      <c r="A18" s="1"/>
      <c r="B18" s="659" t="s">
        <v>895</v>
      </c>
      <c r="C18" s="659"/>
      <c r="D18" s="659"/>
      <c r="E18" s="659"/>
      <c r="F18" s="659"/>
      <c r="G18" s="659"/>
      <c r="H18" s="659"/>
      <c r="I18" s="659"/>
      <c r="J18" s="659"/>
      <c r="K18" s="659"/>
      <c r="L18" s="659"/>
      <c r="M18" s="1"/>
      <c r="N18" s="1"/>
      <c r="O18" s="1"/>
      <c r="P18" s="1"/>
      <c r="Q18" s="1"/>
      <c r="R18" s="1"/>
      <c r="S18" s="1"/>
      <c r="T18" s="1"/>
      <c r="U18" s="1"/>
      <c r="V18" s="1"/>
      <c r="W18" s="1"/>
      <c r="X18" s="1"/>
      <c r="Y18" s="1"/>
      <c r="Z18" s="1"/>
      <c r="AA18" s="1"/>
      <c r="AB18" s="1"/>
      <c r="AC18" s="1"/>
      <c r="AD18" s="1"/>
      <c r="AE18" s="1"/>
      <c r="AF18" s="1"/>
      <c r="AG18" s="1"/>
      <c r="AH18" s="1"/>
    </row>
    <row r="19" spans="1:34" s="1" customFormat="1" ht="3.75" customHeight="1" outlineLevel="1" x14ac:dyDescent="0.25"/>
    <row r="20" spans="1:34" s="1" customFormat="1" outlineLevel="1" x14ac:dyDescent="0.25">
      <c r="B20" s="13" t="s">
        <v>896</v>
      </c>
      <c r="D20" s="43"/>
      <c r="E20" s="284" t="s">
        <v>897</v>
      </c>
    </row>
    <row r="21" spans="1:34" s="1" customFormat="1" outlineLevel="1" x14ac:dyDescent="0.25">
      <c r="B21" s="660" t="s">
        <v>898</v>
      </c>
      <c r="C21" s="665" t="s">
        <v>899</v>
      </c>
      <c r="D21" s="43"/>
      <c r="E21" s="661"/>
      <c r="F21" s="662" t="s">
        <v>900</v>
      </c>
    </row>
    <row r="22" spans="1:34" s="1" customFormat="1" outlineLevel="1" x14ac:dyDescent="0.25">
      <c r="B22" s="663" t="s">
        <v>398</v>
      </c>
      <c r="C22" s="666">
        <v>0</v>
      </c>
      <c r="D22" s="235"/>
      <c r="E22" s="663">
        <v>2030</v>
      </c>
      <c r="F22" s="670">
        <f>H59</f>
        <v>19417.077355164049</v>
      </c>
    </row>
    <row r="23" spans="1:34" s="1" customFormat="1" outlineLevel="1" x14ac:dyDescent="0.25">
      <c r="B23" s="155" t="s">
        <v>399</v>
      </c>
      <c r="C23" s="667">
        <v>0</v>
      </c>
      <c r="D23" s="235"/>
      <c r="E23" s="155">
        <v>2035</v>
      </c>
      <c r="F23" s="428">
        <f>M59</f>
        <v>11801.032175017304</v>
      </c>
    </row>
    <row r="24" spans="1:34" s="1" customFormat="1" outlineLevel="1" x14ac:dyDescent="0.25">
      <c r="B24" s="663" t="s">
        <v>400</v>
      </c>
      <c r="C24" s="666">
        <f>SUM(D50:AB50)/25/1000</f>
        <v>-2.8929567182921208</v>
      </c>
      <c r="D24" s="235"/>
      <c r="E24" s="663">
        <v>2040</v>
      </c>
      <c r="F24" s="670">
        <f>R59</f>
        <v>8229.3410283120465</v>
      </c>
    </row>
    <row r="25" spans="1:34" s="1" customFormat="1" ht="15" customHeight="1" outlineLevel="1" x14ac:dyDescent="0.25">
      <c r="B25" s="155" t="s">
        <v>401</v>
      </c>
      <c r="C25" s="667">
        <f>(SUM(D43:AB43)-SUM(D44:AB44)+SUM(D45:AB45)-SUM(D46:AB46))/25/1000</f>
        <v>-8.4</v>
      </c>
      <c r="D25" s="235"/>
      <c r="E25" s="155">
        <v>2045</v>
      </c>
      <c r="F25" s="428">
        <f>W59</f>
        <v>5848.299316634394</v>
      </c>
    </row>
    <row r="26" spans="1:34" s="1" customFormat="1" outlineLevel="1" x14ac:dyDescent="0.25">
      <c r="B26" s="663" t="s">
        <v>901</v>
      </c>
      <c r="C26" s="670">
        <f>MAX(D59:AR59)</f>
        <v>19417.077355164049</v>
      </c>
      <c r="D26" s="235"/>
      <c r="E26" s="663">
        <v>2050</v>
      </c>
      <c r="F26" s="670">
        <f>AB59</f>
        <v>3760.0914101142944</v>
      </c>
    </row>
    <row r="27" spans="1:34" s="1" customFormat="1" outlineLevel="1" x14ac:dyDescent="0.25">
      <c r="B27" s="155" t="s">
        <v>1386</v>
      </c>
      <c r="C27" s="428">
        <f>SUM(D57:AB58)/1000</f>
        <v>1106.3032502486428</v>
      </c>
      <c r="D27" s="235"/>
      <c r="E27" s="7"/>
    </row>
    <row r="28" spans="1:34" s="1" customFormat="1" outlineLevel="1" x14ac:dyDescent="0.25">
      <c r="B28" s="663" t="s">
        <v>403</v>
      </c>
      <c r="C28" s="670">
        <f>SUM(D50:AV50)*1000/SUM(D59:AV59)</f>
        <v>-280.28681039809067</v>
      </c>
      <c r="D28" s="235"/>
      <c r="E28" s="7"/>
    </row>
    <row r="29" spans="1:34" s="1" customFormat="1" outlineLevel="1" x14ac:dyDescent="0.25">
      <c r="B29" s="13"/>
      <c r="C29" s="236"/>
      <c r="E29" s="7"/>
    </row>
    <row r="30" spans="1:34" s="1" customFormat="1" outlineLevel="1" x14ac:dyDescent="0.25">
      <c r="A30" s="2"/>
      <c r="B30" s="284" t="s">
        <v>903</v>
      </c>
      <c r="D30" s="43"/>
      <c r="E30" s="7"/>
      <c r="I30" s="277" t="s">
        <v>876</v>
      </c>
    </row>
    <row r="31" spans="1:34" s="1" customFormat="1" ht="16.5" customHeight="1" outlineLevel="1" x14ac:dyDescent="0.25">
      <c r="A31" s="2"/>
      <c r="B31" s="155" t="s">
        <v>904</v>
      </c>
      <c r="C31" s="307" t="s">
        <v>474</v>
      </c>
      <c r="D31" s="235"/>
      <c r="E31" s="12"/>
      <c r="F31" s="12"/>
      <c r="G31" s="12"/>
      <c r="H31" s="12"/>
      <c r="I31" s="311" t="s">
        <v>474</v>
      </c>
      <c r="J31" s="295" t="s">
        <v>906</v>
      </c>
    </row>
    <row r="32" spans="1:34" s="1" customFormat="1" outlineLevel="1" x14ac:dyDescent="0.25">
      <c r="A32" s="2"/>
      <c r="B32" s="155" t="s">
        <v>907</v>
      </c>
      <c r="C32" s="307" t="s">
        <v>905</v>
      </c>
      <c r="D32" s="397">
        <f>IF(C32="Kõrge",3,IF(C32="Mõõdukas",2,1))</f>
        <v>2</v>
      </c>
      <c r="E32" s="12"/>
      <c r="F32" s="170" t="s">
        <v>1461</v>
      </c>
      <c r="G32" s="12"/>
      <c r="H32" s="12"/>
      <c r="I32" s="312" t="s">
        <v>905</v>
      </c>
      <c r="J32" s="295" t="s">
        <v>908</v>
      </c>
    </row>
    <row r="33" spans="1:48" s="1" customFormat="1" outlineLevel="1" x14ac:dyDescent="0.25">
      <c r="A33" s="2"/>
      <c r="B33" s="155" t="s">
        <v>909</v>
      </c>
      <c r="C33" s="307" t="s">
        <v>905</v>
      </c>
      <c r="D33" s="397">
        <f>IF(C33="Kõrge",3,IF(C33="Mõõdukas",2,1))</f>
        <v>2</v>
      </c>
      <c r="E33" s="12"/>
      <c r="F33" s="12"/>
      <c r="I33" s="313" t="s">
        <v>910</v>
      </c>
      <c r="J33" s="295" t="s">
        <v>911</v>
      </c>
    </row>
    <row r="34" spans="1:48" s="1" customFormat="1" x14ac:dyDescent="0.25">
      <c r="B34" s="4"/>
      <c r="C34" s="399" t="s">
        <v>912</v>
      </c>
      <c r="D34" s="398">
        <f>D33+D32</f>
        <v>4</v>
      </c>
      <c r="E34" s="12"/>
      <c r="F34" s="12"/>
      <c r="G34" s="12"/>
      <c r="H34" s="12"/>
    </row>
    <row r="35" spans="1:48" x14ac:dyDescent="0.25">
      <c r="A35" s="1"/>
      <c r="B35" s="659" t="s">
        <v>913</v>
      </c>
      <c r="C35" s="659"/>
      <c r="D35" s="659"/>
      <c r="E35" s="659"/>
      <c r="F35" s="659"/>
      <c r="G35" s="659"/>
      <c r="H35" s="659"/>
      <c r="I35" s="659"/>
      <c r="J35" s="659"/>
      <c r="K35" s="659"/>
      <c r="L35" s="659"/>
      <c r="M35" s="659"/>
      <c r="N35" s="659"/>
      <c r="O35" s="659"/>
      <c r="P35" s="659"/>
      <c r="Q35" s="659"/>
      <c r="R35" s="659"/>
      <c r="S35" s="659"/>
      <c r="T35" s="659"/>
      <c r="U35" s="659"/>
      <c r="V35" s="659"/>
      <c r="W35" s="659"/>
      <c r="X35" s="659"/>
      <c r="Y35" s="659"/>
      <c r="Z35" s="659"/>
      <c r="AA35" s="659"/>
      <c r="AB35" s="659"/>
      <c r="AC35" s="659"/>
      <c r="AD35" s="659"/>
      <c r="AE35" s="659"/>
      <c r="AF35" s="659"/>
      <c r="AG35" s="659"/>
      <c r="AH35" s="659"/>
      <c r="AI35" s="659"/>
      <c r="AJ35" s="659"/>
      <c r="AK35" s="659"/>
      <c r="AL35" s="659"/>
      <c r="AM35" s="659"/>
      <c r="AN35" s="659"/>
      <c r="AO35" s="659"/>
      <c r="AP35" s="659"/>
      <c r="AQ35" s="659"/>
      <c r="AR35" s="659"/>
      <c r="AS35" s="659"/>
      <c r="AT35" s="659"/>
      <c r="AU35" s="659"/>
      <c r="AV35" s="659"/>
    </row>
    <row r="36" spans="1:48" s="15" customFormat="1" ht="7.5" customHeight="1" outlineLevel="1" x14ac:dyDescent="0.25"/>
    <row r="37" spans="1:48" s="15" customFormat="1" ht="13.5" outlineLevel="1" x14ac:dyDescent="0.25">
      <c r="B37" s="715" t="s">
        <v>914</v>
      </c>
      <c r="C37" s="719"/>
      <c r="D37" s="432">
        <v>2026</v>
      </c>
      <c r="E37" s="432">
        <f>D37+1</f>
        <v>2027</v>
      </c>
      <c r="F37" s="432">
        <f t="shared" ref="F37:AV37" si="0">E37+1</f>
        <v>2028</v>
      </c>
      <c r="G37" s="432">
        <f t="shared" si="0"/>
        <v>2029</v>
      </c>
      <c r="H37" s="432">
        <f t="shared" si="0"/>
        <v>2030</v>
      </c>
      <c r="I37" s="432">
        <f t="shared" si="0"/>
        <v>2031</v>
      </c>
      <c r="J37" s="432">
        <f t="shared" si="0"/>
        <v>2032</v>
      </c>
      <c r="K37" s="432">
        <f t="shared" si="0"/>
        <v>2033</v>
      </c>
      <c r="L37" s="432">
        <f t="shared" si="0"/>
        <v>2034</v>
      </c>
      <c r="M37" s="432">
        <f t="shared" si="0"/>
        <v>2035</v>
      </c>
      <c r="N37" s="432">
        <f>M37+1</f>
        <v>2036</v>
      </c>
      <c r="O37" s="432">
        <f t="shared" si="0"/>
        <v>2037</v>
      </c>
      <c r="P37" s="432">
        <f t="shared" si="0"/>
        <v>2038</v>
      </c>
      <c r="Q37" s="432">
        <f t="shared" si="0"/>
        <v>2039</v>
      </c>
      <c r="R37" s="432">
        <f t="shared" si="0"/>
        <v>2040</v>
      </c>
      <c r="S37" s="432">
        <f>R37+1</f>
        <v>2041</v>
      </c>
      <c r="T37" s="432">
        <f>S37+1</f>
        <v>2042</v>
      </c>
      <c r="U37" s="432">
        <f>T37+1</f>
        <v>2043</v>
      </c>
      <c r="V37" s="432">
        <f t="shared" si="0"/>
        <v>2044</v>
      </c>
      <c r="W37" s="432">
        <f t="shared" si="0"/>
        <v>2045</v>
      </c>
      <c r="X37" s="432">
        <f t="shared" si="0"/>
        <v>2046</v>
      </c>
      <c r="Y37" s="432">
        <f t="shared" si="0"/>
        <v>2047</v>
      </c>
      <c r="Z37" s="432">
        <f t="shared" si="0"/>
        <v>2048</v>
      </c>
      <c r="AA37" s="432">
        <f t="shared" si="0"/>
        <v>2049</v>
      </c>
      <c r="AB37" s="432">
        <f t="shared" si="0"/>
        <v>2050</v>
      </c>
      <c r="AC37" s="432">
        <f t="shared" si="0"/>
        <v>2051</v>
      </c>
      <c r="AD37" s="432">
        <f t="shared" si="0"/>
        <v>2052</v>
      </c>
      <c r="AE37" s="432">
        <f t="shared" si="0"/>
        <v>2053</v>
      </c>
      <c r="AF37" s="432">
        <f t="shared" si="0"/>
        <v>2054</v>
      </c>
      <c r="AG37" s="432">
        <f t="shared" si="0"/>
        <v>2055</v>
      </c>
      <c r="AH37" s="432">
        <f t="shared" si="0"/>
        <v>2056</v>
      </c>
      <c r="AI37" s="432">
        <f t="shared" si="0"/>
        <v>2057</v>
      </c>
      <c r="AJ37" s="432">
        <f t="shared" si="0"/>
        <v>2058</v>
      </c>
      <c r="AK37" s="432">
        <f t="shared" si="0"/>
        <v>2059</v>
      </c>
      <c r="AL37" s="432">
        <f t="shared" si="0"/>
        <v>2060</v>
      </c>
      <c r="AM37" s="432">
        <f t="shared" si="0"/>
        <v>2061</v>
      </c>
      <c r="AN37" s="432">
        <f t="shared" si="0"/>
        <v>2062</v>
      </c>
      <c r="AO37" s="432">
        <f t="shared" si="0"/>
        <v>2063</v>
      </c>
      <c r="AP37" s="432">
        <f t="shared" si="0"/>
        <v>2064</v>
      </c>
      <c r="AQ37" s="432">
        <f t="shared" si="0"/>
        <v>2065</v>
      </c>
      <c r="AR37" s="432">
        <f t="shared" si="0"/>
        <v>2066</v>
      </c>
      <c r="AS37" s="432">
        <f t="shared" si="0"/>
        <v>2067</v>
      </c>
      <c r="AT37" s="432">
        <f t="shared" si="0"/>
        <v>2068</v>
      </c>
      <c r="AU37" s="432">
        <f t="shared" si="0"/>
        <v>2069</v>
      </c>
      <c r="AV37" s="716">
        <f t="shared" si="0"/>
        <v>2070</v>
      </c>
    </row>
    <row r="38" spans="1:48" s="15" customFormat="1" ht="13.5" outlineLevel="1" x14ac:dyDescent="0.25">
      <c r="B38" s="689" t="s">
        <v>1360</v>
      </c>
      <c r="C38" s="815"/>
      <c r="D38" s="686"/>
      <c r="E38" s="686"/>
      <c r="F38" s="686"/>
      <c r="G38" s="686"/>
      <c r="H38" s="686"/>
      <c r="I38" s="686"/>
      <c r="J38" s="686"/>
      <c r="K38" s="686"/>
      <c r="L38" s="686"/>
      <c r="M38" s="686"/>
      <c r="N38" s="686"/>
      <c r="O38" s="686"/>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6"/>
      <c r="AM38" s="686"/>
      <c r="AN38" s="686"/>
      <c r="AO38" s="686"/>
      <c r="AP38" s="686"/>
      <c r="AQ38" s="686"/>
      <c r="AR38" s="686"/>
      <c r="AS38" s="686"/>
      <c r="AT38" s="686"/>
      <c r="AU38" s="686"/>
      <c r="AV38" s="687"/>
    </row>
    <row r="39" spans="1:48" s="15" customFormat="1" ht="13.5" outlineLevel="1" x14ac:dyDescent="0.25">
      <c r="B39" s="671" t="s">
        <v>1456</v>
      </c>
      <c r="C39" s="818" t="s">
        <v>1279</v>
      </c>
      <c r="D39" s="675">
        <f>IF(D37&lt;$D$8,0,1)*$C$8</f>
        <v>0</v>
      </c>
      <c r="E39" s="675">
        <f t="shared" ref="E39:S39" si="1">IF(E37&lt;$D$8,0,1)*$C$8</f>
        <v>0</v>
      </c>
      <c r="F39" s="675">
        <f t="shared" si="1"/>
        <v>0</v>
      </c>
      <c r="G39" s="675">
        <f t="shared" si="1"/>
        <v>0</v>
      </c>
      <c r="H39" s="675">
        <f t="shared" si="1"/>
        <v>1</v>
      </c>
      <c r="I39" s="675">
        <f t="shared" si="1"/>
        <v>1</v>
      </c>
      <c r="J39" s="675">
        <f t="shared" si="1"/>
        <v>1</v>
      </c>
      <c r="K39" s="675">
        <f t="shared" si="1"/>
        <v>1</v>
      </c>
      <c r="L39" s="675">
        <f t="shared" si="1"/>
        <v>1</v>
      </c>
      <c r="M39" s="675">
        <f t="shared" si="1"/>
        <v>1</v>
      </c>
      <c r="N39" s="675">
        <f t="shared" si="1"/>
        <v>1</v>
      </c>
      <c r="O39" s="675">
        <f t="shared" si="1"/>
        <v>1</v>
      </c>
      <c r="P39" s="675">
        <f t="shared" si="1"/>
        <v>1</v>
      </c>
      <c r="Q39" s="675">
        <f t="shared" si="1"/>
        <v>1</v>
      </c>
      <c r="R39" s="675">
        <f t="shared" si="1"/>
        <v>1</v>
      </c>
      <c r="S39" s="675">
        <f t="shared" si="1"/>
        <v>1</v>
      </c>
      <c r="T39" s="675">
        <f t="shared" ref="T39:AV39" si="2">IF(T37&lt;$D$8,0,1)*$C$8</f>
        <v>1</v>
      </c>
      <c r="U39" s="675">
        <f t="shared" si="2"/>
        <v>1</v>
      </c>
      <c r="V39" s="675">
        <f t="shared" si="2"/>
        <v>1</v>
      </c>
      <c r="W39" s="675">
        <f t="shared" si="2"/>
        <v>1</v>
      </c>
      <c r="X39" s="675">
        <f t="shared" si="2"/>
        <v>1</v>
      </c>
      <c r="Y39" s="675">
        <f t="shared" si="2"/>
        <v>1</v>
      </c>
      <c r="Z39" s="675">
        <f t="shared" si="2"/>
        <v>1</v>
      </c>
      <c r="AA39" s="675">
        <f t="shared" si="2"/>
        <v>1</v>
      </c>
      <c r="AB39" s="675">
        <f t="shared" si="2"/>
        <v>1</v>
      </c>
      <c r="AC39" s="675">
        <f t="shared" si="2"/>
        <v>1</v>
      </c>
      <c r="AD39" s="675">
        <f t="shared" si="2"/>
        <v>1</v>
      </c>
      <c r="AE39" s="675">
        <f t="shared" si="2"/>
        <v>1</v>
      </c>
      <c r="AF39" s="675">
        <f t="shared" si="2"/>
        <v>1</v>
      </c>
      <c r="AG39" s="675">
        <f t="shared" si="2"/>
        <v>1</v>
      </c>
      <c r="AH39" s="675">
        <f t="shared" si="2"/>
        <v>1</v>
      </c>
      <c r="AI39" s="675">
        <f t="shared" si="2"/>
        <v>1</v>
      </c>
      <c r="AJ39" s="675">
        <f t="shared" si="2"/>
        <v>1</v>
      </c>
      <c r="AK39" s="675">
        <f t="shared" si="2"/>
        <v>1</v>
      </c>
      <c r="AL39" s="675">
        <f t="shared" si="2"/>
        <v>1</v>
      </c>
      <c r="AM39" s="675">
        <f t="shared" si="2"/>
        <v>1</v>
      </c>
      <c r="AN39" s="675">
        <f t="shared" si="2"/>
        <v>1</v>
      </c>
      <c r="AO39" s="675">
        <f t="shared" si="2"/>
        <v>1</v>
      </c>
      <c r="AP39" s="675">
        <f t="shared" si="2"/>
        <v>1</v>
      </c>
      <c r="AQ39" s="675">
        <f t="shared" si="2"/>
        <v>1</v>
      </c>
      <c r="AR39" s="675">
        <f t="shared" si="2"/>
        <v>1</v>
      </c>
      <c r="AS39" s="675">
        <f t="shared" si="2"/>
        <v>1</v>
      </c>
      <c r="AT39" s="675">
        <f t="shared" si="2"/>
        <v>1</v>
      </c>
      <c r="AU39" s="675">
        <f t="shared" si="2"/>
        <v>1</v>
      </c>
      <c r="AV39" s="676">
        <f t="shared" si="2"/>
        <v>1</v>
      </c>
    </row>
    <row r="40" spans="1:48" s="15" customFormat="1" ht="13.5" outlineLevel="1" x14ac:dyDescent="0.25">
      <c r="B40" s="671" t="s">
        <v>1457</v>
      </c>
      <c r="C40" s="818" t="s">
        <v>1279</v>
      </c>
      <c r="D40" s="675">
        <f>IF(D37&lt;$D$9,0,1)*$C$9</f>
        <v>0</v>
      </c>
      <c r="E40" s="675">
        <f t="shared" ref="E40:S40" si="3">IF(E37&lt;$D$9,0,1)*$C$9</f>
        <v>0</v>
      </c>
      <c r="F40" s="675">
        <f t="shared" si="3"/>
        <v>0</v>
      </c>
      <c r="G40" s="675">
        <f t="shared" si="3"/>
        <v>0</v>
      </c>
      <c r="H40" s="675">
        <f t="shared" si="3"/>
        <v>0</v>
      </c>
      <c r="I40" s="675">
        <f t="shared" si="3"/>
        <v>0</v>
      </c>
      <c r="J40" s="675">
        <f t="shared" si="3"/>
        <v>0</v>
      </c>
      <c r="K40" s="675">
        <f t="shared" si="3"/>
        <v>0</v>
      </c>
      <c r="L40" s="675">
        <f t="shared" si="3"/>
        <v>0</v>
      </c>
      <c r="M40" s="675">
        <f t="shared" si="3"/>
        <v>0</v>
      </c>
      <c r="N40" s="675">
        <f t="shared" si="3"/>
        <v>0</v>
      </c>
      <c r="O40" s="675">
        <f t="shared" si="3"/>
        <v>0</v>
      </c>
      <c r="P40" s="675">
        <f t="shared" si="3"/>
        <v>0</v>
      </c>
      <c r="Q40" s="675">
        <f t="shared" si="3"/>
        <v>0</v>
      </c>
      <c r="R40" s="675">
        <f t="shared" si="3"/>
        <v>0</v>
      </c>
      <c r="S40" s="675">
        <f t="shared" si="3"/>
        <v>0</v>
      </c>
      <c r="T40" s="675">
        <f t="shared" ref="T40:AV40" si="4">IF(T37&lt;$D$9,0,1)*$C$9</f>
        <v>0</v>
      </c>
      <c r="U40" s="675">
        <f t="shared" si="4"/>
        <v>0</v>
      </c>
      <c r="V40" s="675">
        <f t="shared" si="4"/>
        <v>0</v>
      </c>
      <c r="W40" s="675">
        <f t="shared" si="4"/>
        <v>0</v>
      </c>
      <c r="X40" s="675">
        <f t="shared" si="4"/>
        <v>0</v>
      </c>
      <c r="Y40" s="675">
        <f t="shared" si="4"/>
        <v>0</v>
      </c>
      <c r="Z40" s="675">
        <f t="shared" si="4"/>
        <v>0</v>
      </c>
      <c r="AA40" s="675">
        <f t="shared" si="4"/>
        <v>0</v>
      </c>
      <c r="AB40" s="675">
        <f t="shared" si="4"/>
        <v>0</v>
      </c>
      <c r="AC40" s="675">
        <f t="shared" si="4"/>
        <v>0</v>
      </c>
      <c r="AD40" s="675">
        <f t="shared" si="4"/>
        <v>0</v>
      </c>
      <c r="AE40" s="675">
        <f t="shared" si="4"/>
        <v>0</v>
      </c>
      <c r="AF40" s="675">
        <f t="shared" si="4"/>
        <v>0</v>
      </c>
      <c r="AG40" s="675">
        <f t="shared" si="4"/>
        <v>0</v>
      </c>
      <c r="AH40" s="675">
        <f t="shared" si="4"/>
        <v>0</v>
      </c>
      <c r="AI40" s="675">
        <f t="shared" si="4"/>
        <v>0</v>
      </c>
      <c r="AJ40" s="675">
        <f t="shared" si="4"/>
        <v>0</v>
      </c>
      <c r="AK40" s="675">
        <f t="shared" si="4"/>
        <v>0</v>
      </c>
      <c r="AL40" s="675">
        <f t="shared" si="4"/>
        <v>0</v>
      </c>
      <c r="AM40" s="675">
        <f t="shared" si="4"/>
        <v>0</v>
      </c>
      <c r="AN40" s="675">
        <f t="shared" si="4"/>
        <v>0</v>
      </c>
      <c r="AO40" s="675">
        <f t="shared" si="4"/>
        <v>0</v>
      </c>
      <c r="AP40" s="675">
        <f t="shared" si="4"/>
        <v>0</v>
      </c>
      <c r="AQ40" s="675">
        <f t="shared" si="4"/>
        <v>0</v>
      </c>
      <c r="AR40" s="675">
        <f t="shared" si="4"/>
        <v>0</v>
      </c>
      <c r="AS40" s="675">
        <f t="shared" si="4"/>
        <v>0</v>
      </c>
      <c r="AT40" s="675">
        <f t="shared" si="4"/>
        <v>0</v>
      </c>
      <c r="AU40" s="675">
        <f t="shared" si="4"/>
        <v>0</v>
      </c>
      <c r="AV40" s="676">
        <f t="shared" si="4"/>
        <v>0</v>
      </c>
    </row>
    <row r="41" spans="1:48" s="15" customFormat="1" ht="13.5" outlineLevel="1" x14ac:dyDescent="0.25">
      <c r="B41" s="671" t="s">
        <v>1462</v>
      </c>
      <c r="C41" s="818" t="s">
        <v>1279</v>
      </c>
      <c r="D41" s="675">
        <f>IF(D37&lt;$D$10,0,1)*$C$10</f>
        <v>0</v>
      </c>
      <c r="E41" s="675">
        <f t="shared" ref="E41:AV41" si="5">IF(E37&lt;$D$10,0,1)*$C$10</f>
        <v>0</v>
      </c>
      <c r="F41" s="675">
        <f t="shared" si="5"/>
        <v>0</v>
      </c>
      <c r="G41" s="675">
        <f t="shared" si="5"/>
        <v>0</v>
      </c>
      <c r="H41" s="675">
        <f t="shared" si="5"/>
        <v>0</v>
      </c>
      <c r="I41" s="675">
        <f t="shared" si="5"/>
        <v>0</v>
      </c>
      <c r="J41" s="675">
        <f t="shared" si="5"/>
        <v>0</v>
      </c>
      <c r="K41" s="675">
        <f t="shared" si="5"/>
        <v>0</v>
      </c>
      <c r="L41" s="675">
        <f t="shared" si="5"/>
        <v>0</v>
      </c>
      <c r="M41" s="675">
        <f t="shared" si="5"/>
        <v>0</v>
      </c>
      <c r="N41" s="675">
        <f t="shared" si="5"/>
        <v>0</v>
      </c>
      <c r="O41" s="675">
        <f t="shared" si="5"/>
        <v>0</v>
      </c>
      <c r="P41" s="675">
        <f t="shared" si="5"/>
        <v>0</v>
      </c>
      <c r="Q41" s="675">
        <f t="shared" si="5"/>
        <v>0</v>
      </c>
      <c r="R41" s="675">
        <f t="shared" si="5"/>
        <v>0</v>
      </c>
      <c r="S41" s="675">
        <f t="shared" si="5"/>
        <v>0</v>
      </c>
      <c r="T41" s="675">
        <f t="shared" si="5"/>
        <v>0</v>
      </c>
      <c r="U41" s="675">
        <f t="shared" si="5"/>
        <v>0</v>
      </c>
      <c r="V41" s="675">
        <f t="shared" si="5"/>
        <v>0</v>
      </c>
      <c r="W41" s="675">
        <f t="shared" si="5"/>
        <v>0</v>
      </c>
      <c r="X41" s="675">
        <f t="shared" si="5"/>
        <v>0</v>
      </c>
      <c r="Y41" s="675">
        <f t="shared" si="5"/>
        <v>0</v>
      </c>
      <c r="Z41" s="675">
        <f t="shared" si="5"/>
        <v>0</v>
      </c>
      <c r="AA41" s="675">
        <f t="shared" si="5"/>
        <v>0</v>
      </c>
      <c r="AB41" s="675">
        <f t="shared" si="5"/>
        <v>0</v>
      </c>
      <c r="AC41" s="675">
        <f t="shared" si="5"/>
        <v>0</v>
      </c>
      <c r="AD41" s="675">
        <f t="shared" si="5"/>
        <v>0</v>
      </c>
      <c r="AE41" s="675">
        <f t="shared" si="5"/>
        <v>0</v>
      </c>
      <c r="AF41" s="675">
        <f t="shared" si="5"/>
        <v>0</v>
      </c>
      <c r="AG41" s="675">
        <f t="shared" si="5"/>
        <v>0</v>
      </c>
      <c r="AH41" s="675">
        <f t="shared" si="5"/>
        <v>0</v>
      </c>
      <c r="AI41" s="675">
        <f t="shared" si="5"/>
        <v>0</v>
      </c>
      <c r="AJ41" s="675">
        <f t="shared" si="5"/>
        <v>0</v>
      </c>
      <c r="AK41" s="675">
        <f t="shared" si="5"/>
        <v>0</v>
      </c>
      <c r="AL41" s="675">
        <f t="shared" si="5"/>
        <v>0</v>
      </c>
      <c r="AM41" s="675">
        <f t="shared" si="5"/>
        <v>0</v>
      </c>
      <c r="AN41" s="675">
        <f t="shared" si="5"/>
        <v>0</v>
      </c>
      <c r="AO41" s="675">
        <f t="shared" si="5"/>
        <v>0</v>
      </c>
      <c r="AP41" s="675">
        <f t="shared" si="5"/>
        <v>0</v>
      </c>
      <c r="AQ41" s="675">
        <f t="shared" si="5"/>
        <v>0</v>
      </c>
      <c r="AR41" s="675">
        <f t="shared" si="5"/>
        <v>0</v>
      </c>
      <c r="AS41" s="675">
        <f t="shared" si="5"/>
        <v>0</v>
      </c>
      <c r="AT41" s="675">
        <f t="shared" si="5"/>
        <v>0</v>
      </c>
      <c r="AU41" s="675">
        <f t="shared" si="5"/>
        <v>0</v>
      </c>
      <c r="AV41" s="676">
        <f t="shared" si="5"/>
        <v>0</v>
      </c>
    </row>
    <row r="42" spans="1:48" s="15" customFormat="1" ht="13.5" outlineLevel="1" x14ac:dyDescent="0.25">
      <c r="B42" s="689" t="s">
        <v>1271</v>
      </c>
      <c r="C42" s="815"/>
      <c r="D42" s="686"/>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686"/>
      <c r="AO42" s="686"/>
      <c r="AP42" s="686"/>
      <c r="AQ42" s="686"/>
      <c r="AR42" s="686"/>
      <c r="AS42" s="686"/>
      <c r="AT42" s="686"/>
      <c r="AU42" s="686"/>
      <c r="AV42" s="687"/>
    </row>
    <row r="43" spans="1:48" s="15" customFormat="1" ht="13.5" outlineLevel="1" x14ac:dyDescent="0.25">
      <c r="B43" s="671" t="s">
        <v>1463</v>
      </c>
      <c r="C43" s="679" t="s">
        <v>1243</v>
      </c>
      <c r="D43" s="682">
        <f>D39*$E$8*1000</f>
        <v>0</v>
      </c>
      <c r="E43" s="682">
        <f t="shared" ref="E43:I43" si="6">E39*$E$8*1000</f>
        <v>0</v>
      </c>
      <c r="F43" s="682">
        <f t="shared" si="6"/>
        <v>0</v>
      </c>
      <c r="G43" s="682">
        <f t="shared" si="6"/>
        <v>0</v>
      </c>
      <c r="H43" s="682">
        <f t="shared" si="6"/>
        <v>10000</v>
      </c>
      <c r="I43" s="682">
        <f t="shared" si="6"/>
        <v>10000</v>
      </c>
      <c r="J43" s="682">
        <f t="shared" ref="J43:AV43" si="7">J39*$E$8*1000</f>
        <v>10000</v>
      </c>
      <c r="K43" s="682">
        <f t="shared" si="7"/>
        <v>10000</v>
      </c>
      <c r="L43" s="682">
        <f t="shared" si="7"/>
        <v>10000</v>
      </c>
      <c r="M43" s="682">
        <f t="shared" si="7"/>
        <v>10000</v>
      </c>
      <c r="N43" s="682">
        <f t="shared" si="7"/>
        <v>10000</v>
      </c>
      <c r="O43" s="682">
        <f t="shared" si="7"/>
        <v>10000</v>
      </c>
      <c r="P43" s="682">
        <f t="shared" si="7"/>
        <v>10000</v>
      </c>
      <c r="Q43" s="682">
        <f t="shared" si="7"/>
        <v>10000</v>
      </c>
      <c r="R43" s="682">
        <f t="shared" si="7"/>
        <v>10000</v>
      </c>
      <c r="S43" s="682">
        <f t="shared" si="7"/>
        <v>10000</v>
      </c>
      <c r="T43" s="682">
        <f t="shared" si="7"/>
        <v>10000</v>
      </c>
      <c r="U43" s="682">
        <f t="shared" si="7"/>
        <v>10000</v>
      </c>
      <c r="V43" s="682">
        <f t="shared" si="7"/>
        <v>10000</v>
      </c>
      <c r="W43" s="682">
        <f t="shared" si="7"/>
        <v>10000</v>
      </c>
      <c r="X43" s="682">
        <f t="shared" si="7"/>
        <v>10000</v>
      </c>
      <c r="Y43" s="682">
        <f t="shared" si="7"/>
        <v>10000</v>
      </c>
      <c r="Z43" s="682">
        <f t="shared" si="7"/>
        <v>10000</v>
      </c>
      <c r="AA43" s="682">
        <f t="shared" si="7"/>
        <v>10000</v>
      </c>
      <c r="AB43" s="682">
        <f t="shared" si="7"/>
        <v>10000</v>
      </c>
      <c r="AC43" s="682">
        <f t="shared" si="7"/>
        <v>10000</v>
      </c>
      <c r="AD43" s="682">
        <f t="shared" si="7"/>
        <v>10000</v>
      </c>
      <c r="AE43" s="682">
        <f t="shared" si="7"/>
        <v>10000</v>
      </c>
      <c r="AF43" s="682">
        <f t="shared" si="7"/>
        <v>10000</v>
      </c>
      <c r="AG43" s="682">
        <f t="shared" si="7"/>
        <v>10000</v>
      </c>
      <c r="AH43" s="682">
        <f t="shared" si="7"/>
        <v>10000</v>
      </c>
      <c r="AI43" s="682">
        <f t="shared" si="7"/>
        <v>10000</v>
      </c>
      <c r="AJ43" s="682">
        <f t="shared" si="7"/>
        <v>10000</v>
      </c>
      <c r="AK43" s="682">
        <f t="shared" si="7"/>
        <v>10000</v>
      </c>
      <c r="AL43" s="682">
        <f t="shared" si="7"/>
        <v>10000</v>
      </c>
      <c r="AM43" s="682">
        <f t="shared" si="7"/>
        <v>10000</v>
      </c>
      <c r="AN43" s="682">
        <f t="shared" si="7"/>
        <v>10000</v>
      </c>
      <c r="AO43" s="682">
        <f t="shared" si="7"/>
        <v>10000</v>
      </c>
      <c r="AP43" s="682">
        <f t="shared" si="7"/>
        <v>10000</v>
      </c>
      <c r="AQ43" s="682">
        <f t="shared" si="7"/>
        <v>10000</v>
      </c>
      <c r="AR43" s="682">
        <f t="shared" si="7"/>
        <v>10000</v>
      </c>
      <c r="AS43" s="682">
        <f t="shared" si="7"/>
        <v>10000</v>
      </c>
      <c r="AT43" s="682">
        <f t="shared" si="7"/>
        <v>10000</v>
      </c>
      <c r="AU43" s="682">
        <f t="shared" si="7"/>
        <v>10000</v>
      </c>
      <c r="AV43" s="428">
        <f t="shared" si="7"/>
        <v>10000</v>
      </c>
    </row>
    <row r="44" spans="1:48" s="15" customFormat="1" ht="13.5" outlineLevel="1" x14ac:dyDescent="0.25">
      <c r="B44" s="671" t="s">
        <v>1464</v>
      </c>
      <c r="C44" s="679" t="s">
        <v>1243</v>
      </c>
      <c r="D44" s="682">
        <f>D39*$F$8*$G$8*1000</f>
        <v>0</v>
      </c>
      <c r="E44" s="682">
        <f t="shared" ref="E44:I44" si="8">E39*$F$8*$G$8*1000</f>
        <v>0</v>
      </c>
      <c r="F44" s="682">
        <f t="shared" si="8"/>
        <v>0</v>
      </c>
      <c r="G44" s="682">
        <f t="shared" si="8"/>
        <v>0</v>
      </c>
      <c r="H44" s="682">
        <f t="shared" si="8"/>
        <v>20000</v>
      </c>
      <c r="I44" s="682">
        <f t="shared" si="8"/>
        <v>20000</v>
      </c>
      <c r="J44" s="682">
        <f t="shared" ref="J44:AV44" si="9">J39*$F$8*$G$8*1000</f>
        <v>20000</v>
      </c>
      <c r="K44" s="682">
        <f t="shared" si="9"/>
        <v>20000</v>
      </c>
      <c r="L44" s="682">
        <f t="shared" si="9"/>
        <v>20000</v>
      </c>
      <c r="M44" s="682">
        <f t="shared" si="9"/>
        <v>20000</v>
      </c>
      <c r="N44" s="682">
        <f t="shared" si="9"/>
        <v>20000</v>
      </c>
      <c r="O44" s="682">
        <f t="shared" si="9"/>
        <v>20000</v>
      </c>
      <c r="P44" s="682">
        <f t="shared" si="9"/>
        <v>20000</v>
      </c>
      <c r="Q44" s="682">
        <f t="shared" si="9"/>
        <v>20000</v>
      </c>
      <c r="R44" s="682">
        <f t="shared" si="9"/>
        <v>20000</v>
      </c>
      <c r="S44" s="682">
        <f t="shared" si="9"/>
        <v>20000</v>
      </c>
      <c r="T44" s="682">
        <f t="shared" si="9"/>
        <v>20000</v>
      </c>
      <c r="U44" s="682">
        <f t="shared" si="9"/>
        <v>20000</v>
      </c>
      <c r="V44" s="682">
        <f t="shared" si="9"/>
        <v>20000</v>
      </c>
      <c r="W44" s="682">
        <f t="shared" si="9"/>
        <v>20000</v>
      </c>
      <c r="X44" s="682">
        <f t="shared" si="9"/>
        <v>20000</v>
      </c>
      <c r="Y44" s="682">
        <f t="shared" si="9"/>
        <v>20000</v>
      </c>
      <c r="Z44" s="682">
        <f t="shared" si="9"/>
        <v>20000</v>
      </c>
      <c r="AA44" s="682">
        <f t="shared" si="9"/>
        <v>20000</v>
      </c>
      <c r="AB44" s="682">
        <f t="shared" si="9"/>
        <v>20000</v>
      </c>
      <c r="AC44" s="682">
        <f t="shared" si="9"/>
        <v>20000</v>
      </c>
      <c r="AD44" s="682">
        <f t="shared" si="9"/>
        <v>20000</v>
      </c>
      <c r="AE44" s="682">
        <f t="shared" si="9"/>
        <v>20000</v>
      </c>
      <c r="AF44" s="682">
        <f t="shared" si="9"/>
        <v>20000</v>
      </c>
      <c r="AG44" s="682">
        <f t="shared" si="9"/>
        <v>20000</v>
      </c>
      <c r="AH44" s="682">
        <f t="shared" si="9"/>
        <v>20000</v>
      </c>
      <c r="AI44" s="682">
        <f t="shared" si="9"/>
        <v>20000</v>
      </c>
      <c r="AJ44" s="682">
        <f t="shared" si="9"/>
        <v>20000</v>
      </c>
      <c r="AK44" s="682">
        <f t="shared" si="9"/>
        <v>20000</v>
      </c>
      <c r="AL44" s="682">
        <f t="shared" si="9"/>
        <v>20000</v>
      </c>
      <c r="AM44" s="682">
        <f t="shared" si="9"/>
        <v>20000</v>
      </c>
      <c r="AN44" s="682">
        <f t="shared" si="9"/>
        <v>20000</v>
      </c>
      <c r="AO44" s="682">
        <f t="shared" si="9"/>
        <v>20000</v>
      </c>
      <c r="AP44" s="682">
        <f t="shared" si="9"/>
        <v>20000</v>
      </c>
      <c r="AQ44" s="682">
        <f t="shared" si="9"/>
        <v>20000</v>
      </c>
      <c r="AR44" s="682">
        <f t="shared" si="9"/>
        <v>20000</v>
      </c>
      <c r="AS44" s="682">
        <f t="shared" si="9"/>
        <v>20000</v>
      </c>
      <c r="AT44" s="682">
        <f t="shared" si="9"/>
        <v>20000</v>
      </c>
      <c r="AU44" s="682">
        <f t="shared" si="9"/>
        <v>20000</v>
      </c>
      <c r="AV44" s="428">
        <f t="shared" si="9"/>
        <v>20000</v>
      </c>
    </row>
    <row r="45" spans="1:48" s="15" customFormat="1" ht="13.5" outlineLevel="1" x14ac:dyDescent="0.25">
      <c r="B45" s="671" t="s">
        <v>1465</v>
      </c>
      <c r="C45" s="679" t="s">
        <v>1243</v>
      </c>
      <c r="D45" s="682">
        <f>D40*$E$9*1000</f>
        <v>0</v>
      </c>
      <c r="E45" s="682">
        <f t="shared" ref="E45:I45" si="10">E40*$E$9*1000</f>
        <v>0</v>
      </c>
      <c r="F45" s="682">
        <f t="shared" si="10"/>
        <v>0</v>
      </c>
      <c r="G45" s="682">
        <f t="shared" si="10"/>
        <v>0</v>
      </c>
      <c r="H45" s="682">
        <f t="shared" si="10"/>
        <v>0</v>
      </c>
      <c r="I45" s="682">
        <f t="shared" si="10"/>
        <v>0</v>
      </c>
      <c r="J45" s="682">
        <f t="shared" ref="J45:AV45" si="11">J40*$E$9*1000</f>
        <v>0</v>
      </c>
      <c r="K45" s="682">
        <f t="shared" si="11"/>
        <v>0</v>
      </c>
      <c r="L45" s="682">
        <f t="shared" si="11"/>
        <v>0</v>
      </c>
      <c r="M45" s="682">
        <f t="shared" si="11"/>
        <v>0</v>
      </c>
      <c r="N45" s="682">
        <f t="shared" si="11"/>
        <v>0</v>
      </c>
      <c r="O45" s="682">
        <f t="shared" si="11"/>
        <v>0</v>
      </c>
      <c r="P45" s="682">
        <f t="shared" si="11"/>
        <v>0</v>
      </c>
      <c r="Q45" s="682">
        <f t="shared" si="11"/>
        <v>0</v>
      </c>
      <c r="R45" s="682">
        <f t="shared" si="11"/>
        <v>0</v>
      </c>
      <c r="S45" s="682">
        <f t="shared" si="11"/>
        <v>0</v>
      </c>
      <c r="T45" s="682">
        <f t="shared" si="11"/>
        <v>0</v>
      </c>
      <c r="U45" s="682">
        <f t="shared" si="11"/>
        <v>0</v>
      </c>
      <c r="V45" s="682">
        <f t="shared" si="11"/>
        <v>0</v>
      </c>
      <c r="W45" s="682">
        <f t="shared" si="11"/>
        <v>0</v>
      </c>
      <c r="X45" s="682">
        <f t="shared" si="11"/>
        <v>0</v>
      </c>
      <c r="Y45" s="682">
        <f t="shared" si="11"/>
        <v>0</v>
      </c>
      <c r="Z45" s="682">
        <f t="shared" si="11"/>
        <v>0</v>
      </c>
      <c r="AA45" s="682">
        <f t="shared" si="11"/>
        <v>0</v>
      </c>
      <c r="AB45" s="682">
        <f t="shared" si="11"/>
        <v>0</v>
      </c>
      <c r="AC45" s="682">
        <f t="shared" si="11"/>
        <v>0</v>
      </c>
      <c r="AD45" s="682">
        <f t="shared" si="11"/>
        <v>0</v>
      </c>
      <c r="AE45" s="682">
        <f t="shared" si="11"/>
        <v>0</v>
      </c>
      <c r="AF45" s="682">
        <f t="shared" si="11"/>
        <v>0</v>
      </c>
      <c r="AG45" s="682">
        <f t="shared" si="11"/>
        <v>0</v>
      </c>
      <c r="AH45" s="682">
        <f t="shared" si="11"/>
        <v>0</v>
      </c>
      <c r="AI45" s="682">
        <f t="shared" si="11"/>
        <v>0</v>
      </c>
      <c r="AJ45" s="682">
        <f t="shared" si="11"/>
        <v>0</v>
      </c>
      <c r="AK45" s="682">
        <f t="shared" si="11"/>
        <v>0</v>
      </c>
      <c r="AL45" s="682">
        <f t="shared" si="11"/>
        <v>0</v>
      </c>
      <c r="AM45" s="682">
        <f t="shared" si="11"/>
        <v>0</v>
      </c>
      <c r="AN45" s="682">
        <f t="shared" si="11"/>
        <v>0</v>
      </c>
      <c r="AO45" s="682">
        <f t="shared" si="11"/>
        <v>0</v>
      </c>
      <c r="AP45" s="682">
        <f t="shared" si="11"/>
        <v>0</v>
      </c>
      <c r="AQ45" s="682">
        <f t="shared" si="11"/>
        <v>0</v>
      </c>
      <c r="AR45" s="682">
        <f t="shared" si="11"/>
        <v>0</v>
      </c>
      <c r="AS45" s="682">
        <f t="shared" si="11"/>
        <v>0</v>
      </c>
      <c r="AT45" s="682">
        <f t="shared" si="11"/>
        <v>0</v>
      </c>
      <c r="AU45" s="682">
        <f t="shared" si="11"/>
        <v>0</v>
      </c>
      <c r="AV45" s="428">
        <f t="shared" si="11"/>
        <v>0</v>
      </c>
    </row>
    <row r="46" spans="1:48" s="15" customFormat="1" ht="13.5" outlineLevel="1" x14ac:dyDescent="0.25">
      <c r="B46" s="671" t="s">
        <v>1466</v>
      </c>
      <c r="C46" s="679" t="s">
        <v>1243</v>
      </c>
      <c r="D46" s="682">
        <f>D40*$F$9*$G$9*1000</f>
        <v>0</v>
      </c>
      <c r="E46" s="682">
        <f t="shared" ref="E46:I46" si="12">E40*$F$9*$G$9*1000</f>
        <v>0</v>
      </c>
      <c r="F46" s="682">
        <f t="shared" si="12"/>
        <v>0</v>
      </c>
      <c r="G46" s="682">
        <f t="shared" si="12"/>
        <v>0</v>
      </c>
      <c r="H46" s="682">
        <f t="shared" si="12"/>
        <v>0</v>
      </c>
      <c r="I46" s="682">
        <f t="shared" si="12"/>
        <v>0</v>
      </c>
      <c r="J46" s="682">
        <f t="shared" ref="J46:AV46" si="13">J40*$F$9*$G$9*1000</f>
        <v>0</v>
      </c>
      <c r="K46" s="682">
        <f t="shared" si="13"/>
        <v>0</v>
      </c>
      <c r="L46" s="682">
        <f t="shared" si="13"/>
        <v>0</v>
      </c>
      <c r="M46" s="682">
        <f t="shared" si="13"/>
        <v>0</v>
      </c>
      <c r="N46" s="682">
        <f t="shared" si="13"/>
        <v>0</v>
      </c>
      <c r="O46" s="682">
        <f t="shared" si="13"/>
        <v>0</v>
      </c>
      <c r="P46" s="682">
        <f t="shared" si="13"/>
        <v>0</v>
      </c>
      <c r="Q46" s="682">
        <f t="shared" si="13"/>
        <v>0</v>
      </c>
      <c r="R46" s="682">
        <f t="shared" si="13"/>
        <v>0</v>
      </c>
      <c r="S46" s="682">
        <f t="shared" si="13"/>
        <v>0</v>
      </c>
      <c r="T46" s="682">
        <f t="shared" si="13"/>
        <v>0</v>
      </c>
      <c r="U46" s="682">
        <f t="shared" si="13"/>
        <v>0</v>
      </c>
      <c r="V46" s="682">
        <f t="shared" si="13"/>
        <v>0</v>
      </c>
      <c r="W46" s="682">
        <f t="shared" si="13"/>
        <v>0</v>
      </c>
      <c r="X46" s="682">
        <f t="shared" si="13"/>
        <v>0</v>
      </c>
      <c r="Y46" s="682">
        <f t="shared" si="13"/>
        <v>0</v>
      </c>
      <c r="Z46" s="682">
        <f t="shared" si="13"/>
        <v>0</v>
      </c>
      <c r="AA46" s="682">
        <f t="shared" si="13"/>
        <v>0</v>
      </c>
      <c r="AB46" s="682">
        <f t="shared" si="13"/>
        <v>0</v>
      </c>
      <c r="AC46" s="682">
        <f t="shared" si="13"/>
        <v>0</v>
      </c>
      <c r="AD46" s="682">
        <f t="shared" si="13"/>
        <v>0</v>
      </c>
      <c r="AE46" s="682">
        <f t="shared" si="13"/>
        <v>0</v>
      </c>
      <c r="AF46" s="682">
        <f t="shared" si="13"/>
        <v>0</v>
      </c>
      <c r="AG46" s="682">
        <f t="shared" si="13"/>
        <v>0</v>
      </c>
      <c r="AH46" s="682">
        <f t="shared" si="13"/>
        <v>0</v>
      </c>
      <c r="AI46" s="682">
        <f t="shared" si="13"/>
        <v>0</v>
      </c>
      <c r="AJ46" s="682">
        <f t="shared" si="13"/>
        <v>0</v>
      </c>
      <c r="AK46" s="682">
        <f t="shared" si="13"/>
        <v>0</v>
      </c>
      <c r="AL46" s="682">
        <f t="shared" si="13"/>
        <v>0</v>
      </c>
      <c r="AM46" s="682">
        <f t="shared" si="13"/>
        <v>0</v>
      </c>
      <c r="AN46" s="682">
        <f t="shared" si="13"/>
        <v>0</v>
      </c>
      <c r="AO46" s="682">
        <f t="shared" si="13"/>
        <v>0</v>
      </c>
      <c r="AP46" s="682">
        <f t="shared" si="13"/>
        <v>0</v>
      </c>
      <c r="AQ46" s="682">
        <f t="shared" si="13"/>
        <v>0</v>
      </c>
      <c r="AR46" s="682">
        <f t="shared" si="13"/>
        <v>0</v>
      </c>
      <c r="AS46" s="682">
        <f t="shared" si="13"/>
        <v>0</v>
      </c>
      <c r="AT46" s="682">
        <f t="shared" si="13"/>
        <v>0</v>
      </c>
      <c r="AU46" s="682">
        <f t="shared" si="13"/>
        <v>0</v>
      </c>
      <c r="AV46" s="428">
        <f t="shared" si="13"/>
        <v>0</v>
      </c>
    </row>
    <row r="47" spans="1:48" s="15" customFormat="1" ht="13.5" outlineLevel="1" x14ac:dyDescent="0.25">
      <c r="B47" s="671" t="s">
        <v>1467</v>
      </c>
      <c r="C47" s="679" t="s">
        <v>1243</v>
      </c>
      <c r="D47" s="682">
        <f>D41*$E$10*1000</f>
        <v>0</v>
      </c>
      <c r="E47" s="682">
        <f t="shared" ref="E47:H47" si="14">E41*$E$10*1000</f>
        <v>0</v>
      </c>
      <c r="F47" s="682">
        <f t="shared" si="14"/>
        <v>0</v>
      </c>
      <c r="G47" s="682">
        <f t="shared" si="14"/>
        <v>0</v>
      </c>
      <c r="H47" s="682">
        <f t="shared" si="14"/>
        <v>0</v>
      </c>
      <c r="I47" s="682">
        <f>I41*$E$10*1000</f>
        <v>0</v>
      </c>
      <c r="J47" s="682">
        <f t="shared" ref="J47:AV47" si="15">J41*$E$10*1000</f>
        <v>0</v>
      </c>
      <c r="K47" s="682">
        <f t="shared" si="15"/>
        <v>0</v>
      </c>
      <c r="L47" s="682">
        <f t="shared" si="15"/>
        <v>0</v>
      </c>
      <c r="M47" s="682">
        <f t="shared" si="15"/>
        <v>0</v>
      </c>
      <c r="N47" s="682">
        <f t="shared" si="15"/>
        <v>0</v>
      </c>
      <c r="O47" s="682">
        <f t="shared" si="15"/>
        <v>0</v>
      </c>
      <c r="P47" s="682">
        <f t="shared" si="15"/>
        <v>0</v>
      </c>
      <c r="Q47" s="682">
        <f t="shared" si="15"/>
        <v>0</v>
      </c>
      <c r="R47" s="682">
        <f t="shared" si="15"/>
        <v>0</v>
      </c>
      <c r="S47" s="682">
        <f t="shared" si="15"/>
        <v>0</v>
      </c>
      <c r="T47" s="682">
        <f t="shared" si="15"/>
        <v>0</v>
      </c>
      <c r="U47" s="682">
        <f t="shared" si="15"/>
        <v>0</v>
      </c>
      <c r="V47" s="682">
        <f t="shared" si="15"/>
        <v>0</v>
      </c>
      <c r="W47" s="682">
        <f t="shared" si="15"/>
        <v>0</v>
      </c>
      <c r="X47" s="682">
        <f t="shared" si="15"/>
        <v>0</v>
      </c>
      <c r="Y47" s="682">
        <f t="shared" si="15"/>
        <v>0</v>
      </c>
      <c r="Z47" s="682">
        <f t="shared" si="15"/>
        <v>0</v>
      </c>
      <c r="AA47" s="682">
        <f t="shared" si="15"/>
        <v>0</v>
      </c>
      <c r="AB47" s="682">
        <f t="shared" si="15"/>
        <v>0</v>
      </c>
      <c r="AC47" s="682">
        <f t="shared" si="15"/>
        <v>0</v>
      </c>
      <c r="AD47" s="682">
        <f t="shared" si="15"/>
        <v>0</v>
      </c>
      <c r="AE47" s="682">
        <f t="shared" si="15"/>
        <v>0</v>
      </c>
      <c r="AF47" s="682">
        <f t="shared" si="15"/>
        <v>0</v>
      </c>
      <c r="AG47" s="682">
        <f t="shared" si="15"/>
        <v>0</v>
      </c>
      <c r="AH47" s="682">
        <f t="shared" si="15"/>
        <v>0</v>
      </c>
      <c r="AI47" s="682">
        <f t="shared" si="15"/>
        <v>0</v>
      </c>
      <c r="AJ47" s="682">
        <f t="shared" si="15"/>
        <v>0</v>
      </c>
      <c r="AK47" s="682">
        <f t="shared" si="15"/>
        <v>0</v>
      </c>
      <c r="AL47" s="682">
        <f t="shared" si="15"/>
        <v>0</v>
      </c>
      <c r="AM47" s="682">
        <f t="shared" si="15"/>
        <v>0</v>
      </c>
      <c r="AN47" s="682">
        <f t="shared" si="15"/>
        <v>0</v>
      </c>
      <c r="AO47" s="682">
        <f t="shared" si="15"/>
        <v>0</v>
      </c>
      <c r="AP47" s="682">
        <f t="shared" si="15"/>
        <v>0</v>
      </c>
      <c r="AQ47" s="682">
        <f t="shared" si="15"/>
        <v>0</v>
      </c>
      <c r="AR47" s="682">
        <f t="shared" si="15"/>
        <v>0</v>
      </c>
      <c r="AS47" s="682">
        <f t="shared" si="15"/>
        <v>0</v>
      </c>
      <c r="AT47" s="682">
        <f t="shared" si="15"/>
        <v>0</v>
      </c>
      <c r="AU47" s="682">
        <f t="shared" si="15"/>
        <v>0</v>
      </c>
      <c r="AV47" s="428">
        <f t="shared" si="15"/>
        <v>0</v>
      </c>
    </row>
    <row r="48" spans="1:48" s="15" customFormat="1" ht="13.5" outlineLevel="1" x14ac:dyDescent="0.25">
      <c r="B48" s="671" t="s">
        <v>1468</v>
      </c>
      <c r="C48" s="679" t="s">
        <v>1243</v>
      </c>
      <c r="D48" s="682">
        <f>D41*$F$10*$G$10*1000</f>
        <v>0</v>
      </c>
      <c r="E48" s="682">
        <f t="shared" ref="E48:I48" si="16">E41*$F$10*$G$10*1000</f>
        <v>0</v>
      </c>
      <c r="F48" s="682">
        <f t="shared" si="16"/>
        <v>0</v>
      </c>
      <c r="G48" s="682">
        <f t="shared" si="16"/>
        <v>0</v>
      </c>
      <c r="H48" s="682">
        <f t="shared" si="16"/>
        <v>0</v>
      </c>
      <c r="I48" s="682">
        <f t="shared" si="16"/>
        <v>0</v>
      </c>
      <c r="J48" s="682">
        <f t="shared" ref="J48:AV48" si="17">J41*$F$10*$G$10*1000</f>
        <v>0</v>
      </c>
      <c r="K48" s="682">
        <f t="shared" si="17"/>
        <v>0</v>
      </c>
      <c r="L48" s="682">
        <f t="shared" si="17"/>
        <v>0</v>
      </c>
      <c r="M48" s="682">
        <f t="shared" si="17"/>
        <v>0</v>
      </c>
      <c r="N48" s="682">
        <f t="shared" si="17"/>
        <v>0</v>
      </c>
      <c r="O48" s="682">
        <f t="shared" si="17"/>
        <v>0</v>
      </c>
      <c r="P48" s="682">
        <f t="shared" si="17"/>
        <v>0</v>
      </c>
      <c r="Q48" s="682">
        <f t="shared" si="17"/>
        <v>0</v>
      </c>
      <c r="R48" s="682">
        <f t="shared" si="17"/>
        <v>0</v>
      </c>
      <c r="S48" s="682">
        <f t="shared" si="17"/>
        <v>0</v>
      </c>
      <c r="T48" s="682">
        <f t="shared" si="17"/>
        <v>0</v>
      </c>
      <c r="U48" s="682">
        <f t="shared" si="17"/>
        <v>0</v>
      </c>
      <c r="V48" s="682">
        <f t="shared" si="17"/>
        <v>0</v>
      </c>
      <c r="W48" s="682">
        <f t="shared" si="17"/>
        <v>0</v>
      </c>
      <c r="X48" s="682">
        <f t="shared" si="17"/>
        <v>0</v>
      </c>
      <c r="Y48" s="682">
        <f t="shared" si="17"/>
        <v>0</v>
      </c>
      <c r="Z48" s="682">
        <f t="shared" si="17"/>
        <v>0</v>
      </c>
      <c r="AA48" s="682">
        <f t="shared" si="17"/>
        <v>0</v>
      </c>
      <c r="AB48" s="682">
        <f t="shared" si="17"/>
        <v>0</v>
      </c>
      <c r="AC48" s="682">
        <f t="shared" si="17"/>
        <v>0</v>
      </c>
      <c r="AD48" s="682">
        <f t="shared" si="17"/>
        <v>0</v>
      </c>
      <c r="AE48" s="682">
        <f t="shared" si="17"/>
        <v>0</v>
      </c>
      <c r="AF48" s="682">
        <f t="shared" si="17"/>
        <v>0</v>
      </c>
      <c r="AG48" s="682">
        <f t="shared" si="17"/>
        <v>0</v>
      </c>
      <c r="AH48" s="682">
        <f t="shared" si="17"/>
        <v>0</v>
      </c>
      <c r="AI48" s="682">
        <f t="shared" si="17"/>
        <v>0</v>
      </c>
      <c r="AJ48" s="682">
        <f t="shared" si="17"/>
        <v>0</v>
      </c>
      <c r="AK48" s="682">
        <f t="shared" si="17"/>
        <v>0</v>
      </c>
      <c r="AL48" s="682">
        <f t="shared" si="17"/>
        <v>0</v>
      </c>
      <c r="AM48" s="682">
        <f t="shared" si="17"/>
        <v>0</v>
      </c>
      <c r="AN48" s="682">
        <f t="shared" si="17"/>
        <v>0</v>
      </c>
      <c r="AO48" s="682">
        <f t="shared" si="17"/>
        <v>0</v>
      </c>
      <c r="AP48" s="682">
        <f t="shared" si="17"/>
        <v>0</v>
      </c>
      <c r="AQ48" s="682">
        <f t="shared" si="17"/>
        <v>0</v>
      </c>
      <c r="AR48" s="682">
        <f t="shared" si="17"/>
        <v>0</v>
      </c>
      <c r="AS48" s="682">
        <f t="shared" si="17"/>
        <v>0</v>
      </c>
      <c r="AT48" s="682">
        <f t="shared" si="17"/>
        <v>0</v>
      </c>
      <c r="AU48" s="682">
        <f t="shared" si="17"/>
        <v>0</v>
      </c>
      <c r="AV48" s="428">
        <f t="shared" si="17"/>
        <v>0</v>
      </c>
    </row>
    <row r="49" spans="2:48" s="15" customFormat="1" ht="13.5" outlineLevel="1" x14ac:dyDescent="0.25">
      <c r="B49" s="671" t="s">
        <v>1469</v>
      </c>
      <c r="C49" s="679" t="s">
        <v>1243</v>
      </c>
      <c r="D49" s="682">
        <f>-(D56*$C$14*1000+D58*$C$15)*(1+$C$16)+D44</f>
        <v>0</v>
      </c>
      <c r="E49" s="682">
        <f t="shared" ref="E49:AV49" si="18">-(E56*$C$14*1000+E58*$C$15)*(1+$C$16)+E44</f>
        <v>0</v>
      </c>
      <c r="F49" s="682">
        <f t="shared" si="18"/>
        <v>0</v>
      </c>
      <c r="G49" s="682">
        <f t="shared" si="18"/>
        <v>0</v>
      </c>
      <c r="H49" s="682">
        <f t="shared" si="18"/>
        <v>1351.0193326870685</v>
      </c>
      <c r="I49" s="682">
        <f t="shared" si="18"/>
        <v>2235.3274116884495</v>
      </c>
      <c r="J49" s="682">
        <f t="shared" si="18"/>
        <v>3095.2530239421285</v>
      </c>
      <c r="K49" s="682">
        <f t="shared" si="18"/>
        <v>3931.1786252926304</v>
      </c>
      <c r="L49" s="682">
        <f t="shared" si="18"/>
        <v>4743.4820353901268</v>
      </c>
      <c r="M49" s="682">
        <f t="shared" si="18"/>
        <v>5532.5364765210143</v>
      </c>
      <c r="N49" s="682">
        <f t="shared" si="18"/>
        <v>5861.2871478090219</v>
      </c>
      <c r="O49" s="682">
        <f t="shared" si="18"/>
        <v>6179.2334241267599</v>
      </c>
      <c r="P49" s="682">
        <f t="shared" si="18"/>
        <v>6486.6051034687553</v>
      </c>
      <c r="Q49" s="682">
        <f t="shared" si="18"/>
        <v>6783.6275762052537</v>
      </c>
      <c r="R49" s="682">
        <f t="shared" si="18"/>
        <v>7070.5219069538489</v>
      </c>
      <c r="S49" s="682">
        <f t="shared" si="18"/>
        <v>7347.5049149472034</v>
      </c>
      <c r="T49" s="682">
        <f t="shared" si="18"/>
        <v>7614.7892529241944</v>
      </c>
      <c r="U49" s="682">
        <f t="shared" si="18"/>
        <v>7872.5834845716272</v>
      </c>
      <c r="V49" s="682">
        <f t="shared" si="18"/>
        <v>8121.0921605429685</v>
      </c>
      <c r="W49" s="682">
        <f t="shared" si="18"/>
        <v>8360.5158930802572</v>
      </c>
      <c r="X49" s="682">
        <f t="shared" si="18"/>
        <v>8591.0514292646385</v>
      </c>
      <c r="Y49" s="682">
        <f t="shared" si="18"/>
        <v>8812.8917229207109</v>
      </c>
      <c r="Z49" s="682">
        <f t="shared" si="18"/>
        <v>9026.2260051993435</v>
      </c>
      <c r="AA49" s="682">
        <f t="shared" si="18"/>
        <v>9231.2398538630623</v>
      </c>
      <c r="AB49" s="682">
        <f t="shared" si="18"/>
        <v>9428.1152612978949</v>
      </c>
      <c r="AC49" s="682">
        <f t="shared" si="18"/>
        <v>9521.1815455766155</v>
      </c>
      <c r="AD49" s="682">
        <f t="shared" si="18"/>
        <v>9614.2337556667771</v>
      </c>
      <c r="AE49" s="682">
        <f t="shared" si="18"/>
        <v>9707.2734249020323</v>
      </c>
      <c r="AF49" s="682">
        <f t="shared" si="18"/>
        <v>9800.3020724593298</v>
      </c>
      <c r="AG49" s="682">
        <f t="shared" si="18"/>
        <v>9893.3212034572243</v>
      </c>
      <c r="AH49" s="682">
        <f t="shared" si="18"/>
        <v>9986.3323090536178</v>
      </c>
      <c r="AI49" s="682">
        <f t="shared" si="18"/>
        <v>10079.336866542837</v>
      </c>
      <c r="AJ49" s="682">
        <f t="shared" si="18"/>
        <v>10172.336339452149</v>
      </c>
      <c r="AK49" s="682">
        <f t="shared" si="18"/>
        <v>10265.332177637658</v>
      </c>
      <c r="AL49" s="682">
        <f t="shared" si="18"/>
        <v>10358.325817379577</v>
      </c>
      <c r="AM49" s="682">
        <f t="shared" si="18"/>
        <v>10451.318681476976</v>
      </c>
      <c r="AN49" s="682">
        <f t="shared" si="18"/>
        <v>10544.312179341838</v>
      </c>
      <c r="AO49" s="682">
        <f t="shared" si="18"/>
        <v>10637.307707092637</v>
      </c>
      <c r="AP49" s="682">
        <f t="shared" si="18"/>
        <v>10730.306647647229</v>
      </c>
      <c r="AQ49" s="682">
        <f t="shared" si="18"/>
        <v>10823.310370815238</v>
      </c>
      <c r="AR49" s="682">
        <f t="shared" si="18"/>
        <v>10916.320233389821</v>
      </c>
      <c r="AS49" s="682">
        <f t="shared" si="18"/>
        <v>11009.337579238889</v>
      </c>
      <c r="AT49" s="682">
        <f t="shared" si="18"/>
        <v>11102.363739395716</v>
      </c>
      <c r="AU49" s="682">
        <f t="shared" si="18"/>
        <v>11195.400032149028</v>
      </c>
      <c r="AV49" s="428">
        <f t="shared" si="18"/>
        <v>11288.447763132506</v>
      </c>
    </row>
    <row r="50" spans="2:48" s="39" customFormat="1" ht="13.5" outlineLevel="1" x14ac:dyDescent="0.25">
      <c r="B50" s="689" t="s">
        <v>1114</v>
      </c>
      <c r="C50" s="693" t="s">
        <v>1243</v>
      </c>
      <c r="D50" s="710">
        <f>D43-D44+D45-D46+D49</f>
        <v>0</v>
      </c>
      <c r="E50" s="710">
        <f t="shared" ref="E50:AV50" si="19">E43-E44+E45-E46+E49</f>
        <v>0</v>
      </c>
      <c r="F50" s="710">
        <f t="shared" si="19"/>
        <v>0</v>
      </c>
      <c r="G50" s="710">
        <f t="shared" si="19"/>
        <v>0</v>
      </c>
      <c r="H50" s="710">
        <f t="shared" si="19"/>
        <v>-8648.9806673129315</v>
      </c>
      <c r="I50" s="710">
        <f t="shared" si="19"/>
        <v>-7764.6725883115505</v>
      </c>
      <c r="J50" s="710">
        <f t="shared" si="19"/>
        <v>-6904.7469760578715</v>
      </c>
      <c r="K50" s="710">
        <f t="shared" si="19"/>
        <v>-6068.8213747073696</v>
      </c>
      <c r="L50" s="710">
        <f t="shared" si="19"/>
        <v>-5256.5179646098732</v>
      </c>
      <c r="M50" s="710">
        <f t="shared" si="19"/>
        <v>-4467.4635234789857</v>
      </c>
      <c r="N50" s="710">
        <f t="shared" si="19"/>
        <v>-4138.7128521909781</v>
      </c>
      <c r="O50" s="710">
        <f t="shared" si="19"/>
        <v>-3820.7665758732401</v>
      </c>
      <c r="P50" s="710">
        <f t="shared" si="19"/>
        <v>-3513.3948965312447</v>
      </c>
      <c r="Q50" s="710">
        <f t="shared" si="19"/>
        <v>-3216.3724237947463</v>
      </c>
      <c r="R50" s="710">
        <f t="shared" si="19"/>
        <v>-2929.4780930461511</v>
      </c>
      <c r="S50" s="710">
        <f t="shared" si="19"/>
        <v>-2652.4950850527966</v>
      </c>
      <c r="T50" s="710">
        <f t="shared" si="19"/>
        <v>-2385.2107470758056</v>
      </c>
      <c r="U50" s="710">
        <f t="shared" si="19"/>
        <v>-2127.4165154283728</v>
      </c>
      <c r="V50" s="710">
        <f t="shared" si="19"/>
        <v>-1878.9078394570315</v>
      </c>
      <c r="W50" s="710">
        <f t="shared" si="19"/>
        <v>-1639.4841069197428</v>
      </c>
      <c r="X50" s="710">
        <f t="shared" si="19"/>
        <v>-1408.9485707353615</v>
      </c>
      <c r="Y50" s="710">
        <f t="shared" si="19"/>
        <v>-1187.1082770792891</v>
      </c>
      <c r="Z50" s="710">
        <f t="shared" si="19"/>
        <v>-973.77399480065651</v>
      </c>
      <c r="AA50" s="710">
        <f t="shared" si="19"/>
        <v>-768.76014613693769</v>
      </c>
      <c r="AB50" s="710">
        <f t="shared" si="19"/>
        <v>-571.8847387021051</v>
      </c>
      <c r="AC50" s="710">
        <f t="shared" si="19"/>
        <v>-478.81845442338454</v>
      </c>
      <c r="AD50" s="710">
        <f t="shared" si="19"/>
        <v>-385.76624433322286</v>
      </c>
      <c r="AE50" s="710">
        <f t="shared" si="19"/>
        <v>-292.72657509796773</v>
      </c>
      <c r="AF50" s="710">
        <f t="shared" si="19"/>
        <v>-199.69792754067021</v>
      </c>
      <c r="AG50" s="710">
        <f t="shared" si="19"/>
        <v>-106.67879654277567</v>
      </c>
      <c r="AH50" s="710">
        <f t="shared" si="19"/>
        <v>-13.667690946382208</v>
      </c>
      <c r="AI50" s="710">
        <f t="shared" si="19"/>
        <v>79.336866542837015</v>
      </c>
      <c r="AJ50" s="710">
        <f t="shared" si="19"/>
        <v>172.33633945214933</v>
      </c>
      <c r="AK50" s="710">
        <f t="shared" si="19"/>
        <v>265.33217763765788</v>
      </c>
      <c r="AL50" s="710">
        <f t="shared" si="19"/>
        <v>358.32581737957662</v>
      </c>
      <c r="AM50" s="710">
        <f t="shared" si="19"/>
        <v>451.31868147697605</v>
      </c>
      <c r="AN50" s="710">
        <f t="shared" si="19"/>
        <v>544.31217934183769</v>
      </c>
      <c r="AO50" s="710">
        <f t="shared" si="19"/>
        <v>637.30770709263743</v>
      </c>
      <c r="AP50" s="710">
        <f t="shared" si="19"/>
        <v>730.3066476472286</v>
      </c>
      <c r="AQ50" s="710">
        <f t="shared" si="19"/>
        <v>823.31037081523755</v>
      </c>
      <c r="AR50" s="710">
        <f t="shared" si="19"/>
        <v>916.32023338982071</v>
      </c>
      <c r="AS50" s="710">
        <f t="shared" si="19"/>
        <v>1009.3375792388888</v>
      </c>
      <c r="AT50" s="710">
        <f t="shared" si="19"/>
        <v>1102.363739395716</v>
      </c>
      <c r="AU50" s="710">
        <f t="shared" si="19"/>
        <v>1195.4000321490275</v>
      </c>
      <c r="AV50" s="426">
        <f t="shared" si="19"/>
        <v>1288.4477631325062</v>
      </c>
    </row>
    <row r="51" spans="2:48" s="15" customFormat="1" ht="13.5" outlineLevel="1" x14ac:dyDescent="0.25">
      <c r="B51" s="671" t="s">
        <v>1284</v>
      </c>
      <c r="C51" s="679" t="s">
        <v>1398</v>
      </c>
      <c r="D51" s="677">
        <f>($H$8*D39+$H$9*D40+$H$10*D41)*SISENDID!$G$285</f>
        <v>0</v>
      </c>
      <c r="E51" s="677">
        <f>($H$8*E39+$H$9*E40+$H$10*E41)*SISENDID!$G$285</f>
        <v>0</v>
      </c>
      <c r="F51" s="677">
        <f>($H$8*F39+$H$9*F40+$H$10*F41)*SISENDID!$G$285</f>
        <v>0</v>
      </c>
      <c r="G51" s="677">
        <f>($H$8*G39+$H$9*G40+$H$10*G41)*SISENDID!$G$285</f>
        <v>0</v>
      </c>
      <c r="H51" s="677">
        <f>($H$8*H39+$H$9*H40+$H$10*H41)*SISENDID!$G$285</f>
        <v>44.047058823529404</v>
      </c>
      <c r="I51" s="677">
        <f>($H$8*I39+$H$9*I40+$H$10*I41)*SISENDID!$G$285</f>
        <v>44.047058823529404</v>
      </c>
      <c r="J51" s="677">
        <f>($H$8*J39+$H$9*J40+$H$10*J41)*SISENDID!$G$285</f>
        <v>44.047058823529404</v>
      </c>
      <c r="K51" s="677">
        <f>($H$8*K39+$H$9*K40+$H$10*K41)*SISENDID!$G$285</f>
        <v>44.047058823529404</v>
      </c>
      <c r="L51" s="677">
        <f>($H$8*L39+$H$9*L40+$H$10*L41)*SISENDID!$G$285</f>
        <v>44.047058823529404</v>
      </c>
      <c r="M51" s="677">
        <f>($H$8*M39+$H$9*M40+$H$10*M41)*SISENDID!$G$285</f>
        <v>44.047058823529404</v>
      </c>
      <c r="N51" s="677">
        <f>($H$8*N39+$H$9*N40+$H$10*N41)*SISENDID!$G$285</f>
        <v>44.047058823529404</v>
      </c>
      <c r="O51" s="677">
        <f>($H$8*O39+$H$9*O40+$H$10*O41)*SISENDID!$G$285</f>
        <v>44.047058823529404</v>
      </c>
      <c r="P51" s="677">
        <f>($H$8*P39+$H$9*P40+$H$10*P41)*SISENDID!$G$285</f>
        <v>44.047058823529404</v>
      </c>
      <c r="Q51" s="677">
        <f>($H$8*Q39+$H$9*Q40+$H$10*Q41)*SISENDID!$G$285</f>
        <v>44.047058823529404</v>
      </c>
      <c r="R51" s="677">
        <f>($H$8*R39+$H$9*R40+$H$10*R41)*SISENDID!$G$285</f>
        <v>44.047058823529404</v>
      </c>
      <c r="S51" s="677">
        <f>($H$8*S39+$H$9*S40+$H$10*S41)*SISENDID!$G$285</f>
        <v>44.047058823529404</v>
      </c>
      <c r="T51" s="677">
        <f>($H$8*T39+$H$9*T40+$H$10*T41)*SISENDID!$G$285</f>
        <v>44.047058823529404</v>
      </c>
      <c r="U51" s="677">
        <f>($H$8*U39+$H$9*U40+$H$10*U41)*SISENDID!$G$285</f>
        <v>44.047058823529404</v>
      </c>
      <c r="V51" s="677">
        <f>($H$8*V39+$H$9*V40+$H$10*V41)*SISENDID!$G$285</f>
        <v>44.047058823529404</v>
      </c>
      <c r="W51" s="677">
        <f>($H$8*W39+$H$9*W40+$H$10*W41)*SISENDID!$G$285</f>
        <v>44.047058823529404</v>
      </c>
      <c r="X51" s="677">
        <f>($H$8*X39+$H$9*X40+$H$10*X41)*SISENDID!$G$285</f>
        <v>44.047058823529404</v>
      </c>
      <c r="Y51" s="677">
        <f>($H$8*Y39+$H$9*Y40+$H$10*Y41)*SISENDID!$G$285</f>
        <v>44.047058823529404</v>
      </c>
      <c r="Z51" s="677">
        <f>($H$8*Z39+$H$9*Z40+$H$10*Z41)*SISENDID!$G$285</f>
        <v>44.047058823529404</v>
      </c>
      <c r="AA51" s="677">
        <f>($H$8*AA39+$H$9*AA40+$H$10*AA41)*SISENDID!$G$285</f>
        <v>44.047058823529404</v>
      </c>
      <c r="AB51" s="677">
        <f>($H$8*AB39+$H$9*AB40+$H$10*AB41)*SISENDID!$G$285</f>
        <v>44.047058823529404</v>
      </c>
      <c r="AC51" s="677">
        <f>($H$8*AC39+$H$9*AC40+$H$10*AC41)*SISENDID!$G$285</f>
        <v>44.047058823529404</v>
      </c>
      <c r="AD51" s="677">
        <f>($H$8*AD39+$H$9*AD40+$H$10*AD41)*SISENDID!$G$285</f>
        <v>44.047058823529404</v>
      </c>
      <c r="AE51" s="677">
        <f>($H$8*AE39+$H$9*AE40+$H$10*AE41)*SISENDID!$G$285</f>
        <v>44.047058823529404</v>
      </c>
      <c r="AF51" s="677">
        <f>($H$8*AF39+$H$9*AF40+$H$10*AF41)*SISENDID!$G$285</f>
        <v>44.047058823529404</v>
      </c>
      <c r="AG51" s="677">
        <f>($H$8*AG39+$H$9*AG40+$H$10*AG41)*SISENDID!$G$285</f>
        <v>44.047058823529404</v>
      </c>
      <c r="AH51" s="677">
        <f>($H$8*AH39+$H$9*AH40+$H$10*AH41)*SISENDID!$G$285</f>
        <v>44.047058823529404</v>
      </c>
      <c r="AI51" s="677">
        <f>($H$8*AI39+$H$9*AI40+$H$10*AI41)*SISENDID!$G$285</f>
        <v>44.047058823529404</v>
      </c>
      <c r="AJ51" s="677">
        <f>($H$8*AJ39+$H$9*AJ40+$H$10*AJ41)*SISENDID!$G$285</f>
        <v>44.047058823529404</v>
      </c>
      <c r="AK51" s="677">
        <f>($H$8*AK39+$H$9*AK40+$H$10*AK41)*SISENDID!$G$285</f>
        <v>44.047058823529404</v>
      </c>
      <c r="AL51" s="677">
        <f>($H$8*AL39+$H$9*AL40+$H$10*AL41)*SISENDID!$G$285</f>
        <v>44.047058823529404</v>
      </c>
      <c r="AM51" s="677">
        <f>($H$8*AM39+$H$9*AM40+$H$10*AM41)*SISENDID!$G$285</f>
        <v>44.047058823529404</v>
      </c>
      <c r="AN51" s="677">
        <f>($H$8*AN39+$H$9*AN40+$H$10*AN41)*SISENDID!$G$285</f>
        <v>44.047058823529404</v>
      </c>
      <c r="AO51" s="677">
        <f>($H$8*AO39+$H$9*AO40+$H$10*AO41)*SISENDID!$G$285</f>
        <v>44.047058823529404</v>
      </c>
      <c r="AP51" s="677">
        <f>($H$8*AP39+$H$9*AP40+$H$10*AP41)*SISENDID!$G$285</f>
        <v>44.047058823529404</v>
      </c>
      <c r="AQ51" s="677">
        <f>($H$8*AQ39+$H$9*AQ40+$H$10*AQ41)*SISENDID!$G$285</f>
        <v>44.047058823529404</v>
      </c>
      <c r="AR51" s="677">
        <f>($H$8*AR39+$H$9*AR40+$H$10*AR41)*SISENDID!$G$285</f>
        <v>44.047058823529404</v>
      </c>
      <c r="AS51" s="677">
        <f>($H$8*AS39+$H$9*AS40+$H$10*AS41)*SISENDID!$G$285</f>
        <v>44.047058823529404</v>
      </c>
      <c r="AT51" s="677">
        <f>($H$8*AT39+$H$9*AT40+$H$10*AT41)*SISENDID!$G$285</f>
        <v>44.047058823529404</v>
      </c>
      <c r="AU51" s="677">
        <f>($H$8*AU39+$H$9*AU40+$H$10*AU41)*SISENDID!$G$285</f>
        <v>44.047058823529404</v>
      </c>
      <c r="AV51" s="819">
        <f>($H$8*AV39+$H$9*AV40+$H$10*AV41)*SISENDID!$G$285</f>
        <v>44.047058823529404</v>
      </c>
    </row>
    <row r="52" spans="2:48" s="15" customFormat="1" ht="13.5" outlineLevel="1" x14ac:dyDescent="0.25">
      <c r="B52" s="671" t="s">
        <v>1470</v>
      </c>
      <c r="C52" s="679" t="s">
        <v>1398</v>
      </c>
      <c r="D52" s="677">
        <f>D51*$I$8*D39+D51*$I$9*D40+D51*$I$10*D41</f>
        <v>0</v>
      </c>
      <c r="E52" s="677">
        <f t="shared" ref="E52:K52" si="20">E51*$I$8*E39+E51*$I$9*E40+E51*$I$10*E41</f>
        <v>0</v>
      </c>
      <c r="F52" s="677">
        <f t="shared" si="20"/>
        <v>0</v>
      </c>
      <c r="G52" s="677">
        <f t="shared" si="20"/>
        <v>0</v>
      </c>
      <c r="H52" s="677">
        <f t="shared" si="20"/>
        <v>13.214117647058821</v>
      </c>
      <c r="I52" s="677">
        <f t="shared" si="20"/>
        <v>13.214117647058821</v>
      </c>
      <c r="J52" s="677">
        <f t="shared" si="20"/>
        <v>13.214117647058821</v>
      </c>
      <c r="K52" s="677">
        <f t="shared" si="20"/>
        <v>13.214117647058821</v>
      </c>
      <c r="L52" s="677">
        <f t="shared" ref="L52" si="21">L51*$I$8*L39+L51*$I$9*L40+L51*$I$10*L41</f>
        <v>13.214117647058821</v>
      </c>
      <c r="M52" s="677">
        <f t="shared" ref="M52" si="22">M51*$I$8*M39+M51*$I$9*M40+M51*$I$10*M41</f>
        <v>13.214117647058821</v>
      </c>
      <c r="N52" s="677">
        <f t="shared" ref="N52" si="23">N51*$I$8*N39+N51*$I$9*N40+N51*$I$10*N41</f>
        <v>13.214117647058821</v>
      </c>
      <c r="O52" s="677">
        <f t="shared" ref="O52" si="24">O51*$I$8*O39+O51*$I$9*O40+O51*$I$10*O41</f>
        <v>13.214117647058821</v>
      </c>
      <c r="P52" s="677">
        <f t="shared" ref="P52" si="25">P51*$I$8*P39+P51*$I$9*P40+P51*$I$10*P41</f>
        <v>13.214117647058821</v>
      </c>
      <c r="Q52" s="677">
        <f t="shared" ref="Q52:R52" si="26">Q51*$I$8*Q39+Q51*$I$9*Q40+Q51*$I$10*Q41</f>
        <v>13.214117647058821</v>
      </c>
      <c r="R52" s="677">
        <f t="shared" si="26"/>
        <v>13.214117647058821</v>
      </c>
      <c r="S52" s="677">
        <f t="shared" ref="S52" si="27">S51*$I$8*S39+S51*$I$9*S40+S51*$I$10*S41</f>
        <v>13.214117647058821</v>
      </c>
      <c r="T52" s="677">
        <f t="shared" ref="T52" si="28">T51*$I$8*T39+T51*$I$9*T40+T51*$I$10*T41</f>
        <v>13.214117647058821</v>
      </c>
      <c r="U52" s="677">
        <f t="shared" ref="U52" si="29">U51*$I$8*U39+U51*$I$9*U40+U51*$I$10*U41</f>
        <v>13.214117647058821</v>
      </c>
      <c r="V52" s="677">
        <f t="shared" ref="V52" si="30">V51*$I$8*V39+V51*$I$9*V40+V51*$I$10*V41</f>
        <v>13.214117647058821</v>
      </c>
      <c r="W52" s="677">
        <f t="shared" ref="W52" si="31">W51*$I$8*W39+W51*$I$9*W40+W51*$I$10*W41</f>
        <v>13.214117647058821</v>
      </c>
      <c r="X52" s="677">
        <f t="shared" ref="X52:Y52" si="32">X51*$I$8*X39+X51*$I$9*X40+X51*$I$10*X41</f>
        <v>13.214117647058821</v>
      </c>
      <c r="Y52" s="677">
        <f t="shared" si="32"/>
        <v>13.214117647058821</v>
      </c>
      <c r="Z52" s="677">
        <f t="shared" ref="Z52" si="33">Z51*$I$8*Z39+Z51*$I$9*Z40+Z51*$I$10*Z41</f>
        <v>13.214117647058821</v>
      </c>
      <c r="AA52" s="677">
        <f t="shared" ref="AA52" si="34">AA51*$I$8*AA39+AA51*$I$9*AA40+AA51*$I$10*AA41</f>
        <v>13.214117647058821</v>
      </c>
      <c r="AB52" s="677">
        <f t="shared" ref="AB52" si="35">AB51*$I$8*AB39+AB51*$I$9*AB40+AB51*$I$10*AB41</f>
        <v>13.214117647058821</v>
      </c>
      <c r="AC52" s="677">
        <f t="shared" ref="AC52" si="36">AC51*$I$8*AC39+AC51*$I$9*AC40+AC51*$I$10*AC41</f>
        <v>13.214117647058821</v>
      </c>
      <c r="AD52" s="677">
        <f t="shared" ref="AD52" si="37">AD51*$I$8*AD39+AD51*$I$9*AD40+AD51*$I$10*AD41</f>
        <v>13.214117647058821</v>
      </c>
      <c r="AE52" s="677">
        <f t="shared" ref="AE52:AF52" si="38">AE51*$I$8*AE39+AE51*$I$9*AE40+AE51*$I$10*AE41</f>
        <v>13.214117647058821</v>
      </c>
      <c r="AF52" s="677">
        <f t="shared" si="38"/>
        <v>13.214117647058821</v>
      </c>
      <c r="AG52" s="677">
        <f t="shared" ref="AG52" si="39">AG51*$I$8*AG39+AG51*$I$9*AG40+AG51*$I$10*AG41</f>
        <v>13.214117647058821</v>
      </c>
      <c r="AH52" s="677">
        <f t="shared" ref="AH52" si="40">AH51*$I$8*AH39+AH51*$I$9*AH40+AH51*$I$10*AH41</f>
        <v>13.214117647058821</v>
      </c>
      <c r="AI52" s="677">
        <f t="shared" ref="AI52" si="41">AI51*$I$8*AI39+AI51*$I$9*AI40+AI51*$I$10*AI41</f>
        <v>13.214117647058821</v>
      </c>
      <c r="AJ52" s="677">
        <f t="shared" ref="AJ52" si="42">AJ51*$I$8*AJ39+AJ51*$I$9*AJ40+AJ51*$I$10*AJ41</f>
        <v>13.214117647058821</v>
      </c>
      <c r="AK52" s="677">
        <f t="shared" ref="AK52" si="43">AK51*$I$8*AK39+AK51*$I$9*AK40+AK51*$I$10*AK41</f>
        <v>13.214117647058821</v>
      </c>
      <c r="AL52" s="677">
        <f t="shared" ref="AL52:AM52" si="44">AL51*$I$8*AL39+AL51*$I$9*AL40+AL51*$I$10*AL41</f>
        <v>13.214117647058821</v>
      </c>
      <c r="AM52" s="677">
        <f t="shared" si="44"/>
        <v>13.214117647058821</v>
      </c>
      <c r="AN52" s="677">
        <f t="shared" ref="AN52" si="45">AN51*$I$8*AN39+AN51*$I$9*AN40+AN51*$I$10*AN41</f>
        <v>13.214117647058821</v>
      </c>
      <c r="AO52" s="677">
        <f t="shared" ref="AO52" si="46">AO51*$I$8*AO39+AO51*$I$9*AO40+AO51*$I$10*AO41</f>
        <v>13.214117647058821</v>
      </c>
      <c r="AP52" s="677">
        <f t="shared" ref="AP52" si="47">AP51*$I$8*AP39+AP51*$I$9*AP40+AP51*$I$10*AP41</f>
        <v>13.214117647058821</v>
      </c>
      <c r="AQ52" s="677">
        <f t="shared" ref="AQ52" si="48">AQ51*$I$8*AQ39+AQ51*$I$9*AQ40+AQ51*$I$10*AQ41</f>
        <v>13.214117647058821</v>
      </c>
      <c r="AR52" s="677">
        <f t="shared" ref="AR52" si="49">AR51*$I$8*AR39+AR51*$I$9*AR40+AR51*$I$10*AR41</f>
        <v>13.214117647058821</v>
      </c>
      <c r="AS52" s="677">
        <f t="shared" ref="AS52:AT52" si="50">AS51*$I$8*AS39+AS51*$I$9*AS40+AS51*$I$10*AS41</f>
        <v>13.214117647058821</v>
      </c>
      <c r="AT52" s="677">
        <f t="shared" si="50"/>
        <v>13.214117647058821</v>
      </c>
      <c r="AU52" s="677">
        <f t="shared" ref="AU52" si="51">AU51*$I$8*AU39+AU51*$I$9*AU40+AU51*$I$10*AU41</f>
        <v>13.214117647058821</v>
      </c>
      <c r="AV52" s="819">
        <f t="shared" ref="AV52" si="52">AV51*$I$8*AV39+AV51*$I$9*AV40+AV51*$I$10*AV41</f>
        <v>13.214117647058821</v>
      </c>
    </row>
    <row r="53" spans="2:48" s="15" customFormat="1" ht="13.5" outlineLevel="1" x14ac:dyDescent="0.25">
      <c r="B53" s="671" t="s">
        <v>1471</v>
      </c>
      <c r="C53" s="679" t="s">
        <v>1283</v>
      </c>
      <c r="D53" s="677">
        <f>D51-D52</f>
        <v>0</v>
      </c>
      <c r="E53" s="677">
        <f t="shared" ref="E53:AV53" si="53">E51-E52</f>
        <v>0</v>
      </c>
      <c r="F53" s="677">
        <f t="shared" si="53"/>
        <v>0</v>
      </c>
      <c r="G53" s="677">
        <f t="shared" si="53"/>
        <v>0</v>
      </c>
      <c r="H53" s="677">
        <f t="shared" si="53"/>
        <v>30.832941176470584</v>
      </c>
      <c r="I53" s="677">
        <f t="shared" si="53"/>
        <v>30.832941176470584</v>
      </c>
      <c r="J53" s="677">
        <f t="shared" si="53"/>
        <v>30.832941176470584</v>
      </c>
      <c r="K53" s="677">
        <f t="shared" si="53"/>
        <v>30.832941176470584</v>
      </c>
      <c r="L53" s="677">
        <f t="shared" si="53"/>
        <v>30.832941176470584</v>
      </c>
      <c r="M53" s="677">
        <f t="shared" si="53"/>
        <v>30.832941176470584</v>
      </c>
      <c r="N53" s="677">
        <f t="shared" si="53"/>
        <v>30.832941176470584</v>
      </c>
      <c r="O53" s="677">
        <f t="shared" si="53"/>
        <v>30.832941176470584</v>
      </c>
      <c r="P53" s="677">
        <f t="shared" si="53"/>
        <v>30.832941176470584</v>
      </c>
      <c r="Q53" s="677">
        <f t="shared" si="53"/>
        <v>30.832941176470584</v>
      </c>
      <c r="R53" s="677">
        <f t="shared" si="53"/>
        <v>30.832941176470584</v>
      </c>
      <c r="S53" s="677">
        <f t="shared" si="53"/>
        <v>30.832941176470584</v>
      </c>
      <c r="T53" s="677">
        <f t="shared" si="53"/>
        <v>30.832941176470584</v>
      </c>
      <c r="U53" s="677">
        <f t="shared" si="53"/>
        <v>30.832941176470584</v>
      </c>
      <c r="V53" s="677">
        <f t="shared" si="53"/>
        <v>30.832941176470584</v>
      </c>
      <c r="W53" s="677">
        <f t="shared" si="53"/>
        <v>30.832941176470584</v>
      </c>
      <c r="X53" s="677">
        <f t="shared" si="53"/>
        <v>30.832941176470584</v>
      </c>
      <c r="Y53" s="677">
        <f t="shared" si="53"/>
        <v>30.832941176470584</v>
      </c>
      <c r="Z53" s="677">
        <f t="shared" si="53"/>
        <v>30.832941176470584</v>
      </c>
      <c r="AA53" s="677">
        <f t="shared" si="53"/>
        <v>30.832941176470584</v>
      </c>
      <c r="AB53" s="677">
        <f t="shared" si="53"/>
        <v>30.832941176470584</v>
      </c>
      <c r="AC53" s="677">
        <f t="shared" si="53"/>
        <v>30.832941176470584</v>
      </c>
      <c r="AD53" s="677">
        <f t="shared" si="53"/>
        <v>30.832941176470584</v>
      </c>
      <c r="AE53" s="677">
        <f t="shared" si="53"/>
        <v>30.832941176470584</v>
      </c>
      <c r="AF53" s="677">
        <f t="shared" si="53"/>
        <v>30.832941176470584</v>
      </c>
      <c r="AG53" s="677">
        <f t="shared" si="53"/>
        <v>30.832941176470584</v>
      </c>
      <c r="AH53" s="677">
        <f t="shared" si="53"/>
        <v>30.832941176470584</v>
      </c>
      <c r="AI53" s="677">
        <f t="shared" si="53"/>
        <v>30.832941176470584</v>
      </c>
      <c r="AJ53" s="677">
        <f t="shared" si="53"/>
        <v>30.832941176470584</v>
      </c>
      <c r="AK53" s="677">
        <f t="shared" si="53"/>
        <v>30.832941176470584</v>
      </c>
      <c r="AL53" s="677">
        <f t="shared" si="53"/>
        <v>30.832941176470584</v>
      </c>
      <c r="AM53" s="677">
        <f t="shared" si="53"/>
        <v>30.832941176470584</v>
      </c>
      <c r="AN53" s="677">
        <f t="shared" si="53"/>
        <v>30.832941176470584</v>
      </c>
      <c r="AO53" s="677">
        <f t="shared" si="53"/>
        <v>30.832941176470584</v>
      </c>
      <c r="AP53" s="677">
        <f t="shared" si="53"/>
        <v>30.832941176470584</v>
      </c>
      <c r="AQ53" s="677">
        <f t="shared" si="53"/>
        <v>30.832941176470584</v>
      </c>
      <c r="AR53" s="677">
        <f t="shared" si="53"/>
        <v>30.832941176470584</v>
      </c>
      <c r="AS53" s="677">
        <f t="shared" si="53"/>
        <v>30.832941176470584</v>
      </c>
      <c r="AT53" s="677">
        <f t="shared" si="53"/>
        <v>30.832941176470584</v>
      </c>
      <c r="AU53" s="677">
        <f t="shared" si="53"/>
        <v>30.832941176470584</v>
      </c>
      <c r="AV53" s="819">
        <f t="shared" si="53"/>
        <v>30.832941176470584</v>
      </c>
    </row>
    <row r="54" spans="2:48" s="15" customFormat="1" ht="13.5" outlineLevel="1" x14ac:dyDescent="0.25">
      <c r="B54" s="671"/>
      <c r="C54" s="679"/>
      <c r="D54" s="677"/>
      <c r="E54" s="677"/>
      <c r="F54" s="677"/>
      <c r="G54" s="677"/>
      <c r="H54" s="677"/>
      <c r="I54" s="677"/>
      <c r="J54" s="677"/>
      <c r="K54" s="677"/>
      <c r="L54" s="677"/>
      <c r="M54" s="677"/>
      <c r="N54" s="677"/>
      <c r="O54" s="677"/>
      <c r="P54" s="677"/>
      <c r="Q54" s="677"/>
      <c r="R54" s="677"/>
      <c r="S54" s="677"/>
      <c r="T54" s="677"/>
      <c r="U54" s="677"/>
      <c r="V54" s="677"/>
      <c r="W54" s="677"/>
      <c r="X54" s="677"/>
      <c r="Y54" s="677"/>
      <c r="Z54" s="677"/>
      <c r="AA54" s="677"/>
      <c r="AB54" s="677"/>
      <c r="AC54" s="677"/>
      <c r="AD54" s="677"/>
      <c r="AE54" s="677"/>
      <c r="AF54" s="677"/>
      <c r="AG54" s="677"/>
      <c r="AH54" s="677"/>
      <c r="AI54" s="677"/>
      <c r="AJ54" s="677"/>
      <c r="AK54" s="677"/>
      <c r="AL54" s="677"/>
      <c r="AM54" s="677"/>
      <c r="AN54" s="677"/>
      <c r="AO54" s="677"/>
      <c r="AP54" s="677"/>
      <c r="AQ54" s="677"/>
      <c r="AR54" s="677"/>
      <c r="AS54" s="677"/>
      <c r="AT54" s="677"/>
      <c r="AU54" s="677"/>
      <c r="AV54" s="819"/>
    </row>
    <row r="55" spans="2:48" s="15" customFormat="1" ht="13.5" outlineLevel="1" x14ac:dyDescent="0.25">
      <c r="B55" s="817" t="s">
        <v>1284</v>
      </c>
      <c r="C55" s="818" t="s">
        <v>708</v>
      </c>
      <c r="D55" s="675">
        <f t="shared" ref="D55:G55" si="54">D51*$C$12/$C$13</f>
        <v>0</v>
      </c>
      <c r="E55" s="675">
        <f t="shared" si="54"/>
        <v>0</v>
      </c>
      <c r="F55" s="675">
        <f t="shared" si="54"/>
        <v>0</v>
      </c>
      <c r="G55" s="675">
        <f t="shared" si="54"/>
        <v>0</v>
      </c>
      <c r="H55" s="675">
        <f>H51*$C$12/$C$13</f>
        <v>157.31092436974788</v>
      </c>
      <c r="I55" s="675">
        <f t="shared" ref="I55:AV55" si="55">I51*$C$12/$C$13</f>
        <v>157.31092436974788</v>
      </c>
      <c r="J55" s="675">
        <f t="shared" si="55"/>
        <v>157.31092436974788</v>
      </c>
      <c r="K55" s="675">
        <f t="shared" si="55"/>
        <v>157.31092436974788</v>
      </c>
      <c r="L55" s="675">
        <f t="shared" si="55"/>
        <v>157.31092436974788</v>
      </c>
      <c r="M55" s="675">
        <f t="shared" si="55"/>
        <v>157.31092436974788</v>
      </c>
      <c r="N55" s="675">
        <f t="shared" si="55"/>
        <v>157.31092436974788</v>
      </c>
      <c r="O55" s="675">
        <f t="shared" si="55"/>
        <v>157.31092436974788</v>
      </c>
      <c r="P55" s="675">
        <f t="shared" si="55"/>
        <v>157.31092436974788</v>
      </c>
      <c r="Q55" s="675">
        <f t="shared" si="55"/>
        <v>157.31092436974788</v>
      </c>
      <c r="R55" s="675">
        <f t="shared" si="55"/>
        <v>157.31092436974788</v>
      </c>
      <c r="S55" s="675">
        <f t="shared" si="55"/>
        <v>157.31092436974788</v>
      </c>
      <c r="T55" s="675">
        <f t="shared" si="55"/>
        <v>157.31092436974788</v>
      </c>
      <c r="U55" s="675">
        <f t="shared" si="55"/>
        <v>157.31092436974788</v>
      </c>
      <c r="V55" s="675">
        <f t="shared" si="55"/>
        <v>157.31092436974788</v>
      </c>
      <c r="W55" s="675">
        <f t="shared" si="55"/>
        <v>157.31092436974788</v>
      </c>
      <c r="X55" s="675">
        <f t="shared" si="55"/>
        <v>157.31092436974788</v>
      </c>
      <c r="Y55" s="675">
        <f t="shared" si="55"/>
        <v>157.31092436974788</v>
      </c>
      <c r="Z55" s="675">
        <f t="shared" si="55"/>
        <v>157.31092436974788</v>
      </c>
      <c r="AA55" s="675">
        <f t="shared" si="55"/>
        <v>157.31092436974788</v>
      </c>
      <c r="AB55" s="675">
        <f t="shared" si="55"/>
        <v>157.31092436974788</v>
      </c>
      <c r="AC55" s="675">
        <f t="shared" si="55"/>
        <v>157.31092436974788</v>
      </c>
      <c r="AD55" s="675">
        <f t="shared" si="55"/>
        <v>157.31092436974788</v>
      </c>
      <c r="AE55" s="675">
        <f t="shared" si="55"/>
        <v>157.31092436974788</v>
      </c>
      <c r="AF55" s="675">
        <f t="shared" si="55"/>
        <v>157.31092436974788</v>
      </c>
      <c r="AG55" s="675">
        <f t="shared" si="55"/>
        <v>157.31092436974788</v>
      </c>
      <c r="AH55" s="675">
        <f t="shared" si="55"/>
        <v>157.31092436974788</v>
      </c>
      <c r="AI55" s="675">
        <f t="shared" si="55"/>
        <v>157.31092436974788</v>
      </c>
      <c r="AJ55" s="675">
        <f t="shared" si="55"/>
        <v>157.31092436974788</v>
      </c>
      <c r="AK55" s="675">
        <f t="shared" si="55"/>
        <v>157.31092436974788</v>
      </c>
      <c r="AL55" s="675">
        <f t="shared" si="55"/>
        <v>157.31092436974788</v>
      </c>
      <c r="AM55" s="675">
        <f t="shared" si="55"/>
        <v>157.31092436974788</v>
      </c>
      <c r="AN55" s="675">
        <f t="shared" si="55"/>
        <v>157.31092436974788</v>
      </c>
      <c r="AO55" s="675">
        <f t="shared" si="55"/>
        <v>157.31092436974788</v>
      </c>
      <c r="AP55" s="675">
        <f t="shared" si="55"/>
        <v>157.31092436974788</v>
      </c>
      <c r="AQ55" s="675">
        <f t="shared" si="55"/>
        <v>157.31092436974788</v>
      </c>
      <c r="AR55" s="675">
        <f t="shared" si="55"/>
        <v>157.31092436974788</v>
      </c>
      <c r="AS55" s="675">
        <f t="shared" si="55"/>
        <v>157.31092436974788</v>
      </c>
      <c r="AT55" s="675">
        <f t="shared" si="55"/>
        <v>157.31092436974788</v>
      </c>
      <c r="AU55" s="675">
        <f t="shared" si="55"/>
        <v>157.31092436974788</v>
      </c>
      <c r="AV55" s="676">
        <f t="shared" si="55"/>
        <v>157.31092436974788</v>
      </c>
    </row>
    <row r="56" spans="2:48" s="15" customFormat="1" ht="13.5" outlineLevel="1" x14ac:dyDescent="0.25">
      <c r="B56" s="817" t="s">
        <v>1285</v>
      </c>
      <c r="C56" s="818" t="s">
        <v>1472</v>
      </c>
      <c r="D56" s="675">
        <f>D$55/100*SISENDID!F261</f>
        <v>0</v>
      </c>
      <c r="E56" s="675">
        <f>E$55/100*SISENDID!G261</f>
        <v>0</v>
      </c>
      <c r="F56" s="675">
        <f>F$55/100*SISENDID!H261</f>
        <v>0</v>
      </c>
      <c r="G56" s="675">
        <f>G$55/100*SISENDID!I261</f>
        <v>0</v>
      </c>
      <c r="H56" s="675">
        <f>H$55/100*SISENDID!J261</f>
        <v>6.7040375211451222</v>
      </c>
      <c r="I56" s="675">
        <f>I$55/100*SISENDID!K261</f>
        <v>6.1341230127318953</v>
      </c>
      <c r="J56" s="675">
        <f>J$55/100*SISENDID!L261</f>
        <v>5.5756200912268543</v>
      </c>
      <c r="K56" s="675">
        <f>K$55/100*SISENDID!M261</f>
        <v>5.0283580832729067</v>
      </c>
      <c r="L56" s="675">
        <f>L$55/100*SISENDID!N261</f>
        <v>4.4921683709978639</v>
      </c>
      <c r="M56" s="675">
        <f>M$55/100*SISENDID!O261</f>
        <v>3.9668843748120741</v>
      </c>
      <c r="N56" s="675">
        <f>N$55/100*SISENDID!P261</f>
        <v>3.7571608997119141</v>
      </c>
      <c r="O56" s="675">
        <f>O$55/100*SISENDID!Q261</f>
        <v>3.5525020672024916</v>
      </c>
      <c r="P56" s="675">
        <f>P$55/100*SISENDID!R261</f>
        <v>3.3528049565899161</v>
      </c>
      <c r="Q56" s="675">
        <f>Q$55/100*SISENDID!S261</f>
        <v>3.1579686081864007</v>
      </c>
      <c r="R56" s="675">
        <f>R$55/100*SISENDID!T261</f>
        <v>2.9678939869179546</v>
      </c>
      <c r="S56" s="675">
        <f>S$55/100*SISENDID!U261</f>
        <v>2.7824839466005291</v>
      </c>
      <c r="T56" s="675">
        <f>T$55/100*SISENDID!V261</f>
        <v>2.6016431948724046</v>
      </c>
      <c r="U56" s="675">
        <f>U$55/100*SISENDID!W261</f>
        <v>2.4252782587707951</v>
      </c>
      <c r="V56" s="675">
        <f>V$55/100*SISENDID!X261</f>
        <v>2.2532974509408823</v>
      </c>
      <c r="W56" s="675">
        <f>W$55/100*SISENDID!Y261</f>
        <v>2.085610836465694</v>
      </c>
      <c r="X56" s="675">
        <f>X$55/100*SISENDID!Z261</f>
        <v>1.9221302003054694</v>
      </c>
      <c r="Y56" s="675">
        <f>Y$55/100*SISENDID!AA261</f>
        <v>1.7627690153353479</v>
      </c>
      <c r="Z56" s="675">
        <f>Z$55/100*SISENDID!AB261</f>
        <v>1.6074424109704293</v>
      </c>
      <c r="AA56" s="675">
        <f>AA$55/100*SISENDID!AC261</f>
        <v>1.4560671423674514</v>
      </c>
      <c r="AB56" s="675">
        <f>AB$55/100*SISENDID!AD261</f>
        <v>1.3085615601925291</v>
      </c>
      <c r="AC56" s="675">
        <f>AC$55/100*SISENDID!AE261</f>
        <v>1.2425201945559647</v>
      </c>
      <c r="AD56" s="675">
        <f>AD$55/100*SISENDID!AF261</f>
        <v>1.1765462905583637</v>
      </c>
      <c r="AE56" s="675">
        <f>AE$55/100*SISENDID!AG261</f>
        <v>1.1106393503070078</v>
      </c>
      <c r="AF56" s="675">
        <f>AF$55/100*SISENDID!AH261</f>
        <v>1.0447988792015643</v>
      </c>
      <c r="AG56" s="675">
        <f>AG$55/100*SISENDID!AI261</f>
        <v>0.97902438591361207</v>
      </c>
      <c r="AH56" s="675">
        <f>AH$55/100*SISENDID!AJ261</f>
        <v>0.91331538236628351</v>
      </c>
      <c r="AI56" s="675">
        <f>AI$55/100*SISENDID!AK261</f>
        <v>0.8476713837140355</v>
      </c>
      <c r="AJ56" s="675">
        <f>AJ$55/100*SISENDID!AL261</f>
        <v>0.78209190832253628</v>
      </c>
      <c r="AK56" s="675">
        <f>AK$55/100*SISENDID!AM261</f>
        <v>0.71657647774867539</v>
      </c>
      <c r="AL56" s="675">
        <f>AL$55/100*SISENDID!AN261</f>
        <v>0.65112461672069155</v>
      </c>
      <c r="AM56" s="675">
        <f>AM$55/100*SISENDID!AO261</f>
        <v>0.58573585311842091</v>
      </c>
      <c r="AN56" s="675">
        <f>AN$55/100*SISENDID!AP261</f>
        <v>0.52040971795366264</v>
      </c>
      <c r="AO56" s="675">
        <f>AO$55/100*SISENDID!AQ261</f>
        <v>0.45514574535066216</v>
      </c>
      <c r="AP56" s="675">
        <f>AP$55/100*SISENDID!AR261</f>
        <v>0.38994347252671158</v>
      </c>
      <c r="AQ56" s="675">
        <f>AQ$55/100*SISENDID!AS261</f>
        <v>0.32480243977286594</v>
      </c>
      <c r="AR56" s="675">
        <f>AR$55/100*SISENDID!AT261</f>
        <v>0.25972219043477535</v>
      </c>
      <c r="AS56" s="675">
        <f>AS$55/100*SISENDID!AU261</f>
        <v>0.19470227089363171</v>
      </c>
      <c r="AT56" s="675">
        <f>AT$55/100*SISENDID!AV261</f>
        <v>0.12974223054722944</v>
      </c>
      <c r="AU56" s="675">
        <f>AU$55/100*SISENDID!AW261</f>
        <v>6.4841621791140266E-2</v>
      </c>
      <c r="AV56" s="676">
        <f>AV$55/100*SISENDID!AX261</f>
        <v>0</v>
      </c>
    </row>
    <row r="57" spans="2:48" s="15" customFormat="1" ht="13.5" outlineLevel="1" x14ac:dyDescent="0.25">
      <c r="B57" s="817" t="s">
        <v>1285</v>
      </c>
      <c r="C57" s="818" t="s">
        <v>659</v>
      </c>
      <c r="D57" s="675">
        <f>D56*SISENDID!$E$418*1000</f>
        <v>0</v>
      </c>
      <c r="E57" s="675">
        <f>E56*SISENDID!$E$418*1000</f>
        <v>0</v>
      </c>
      <c r="F57" s="675">
        <f>F56*SISENDID!$E$418*1000</f>
        <v>0</v>
      </c>
      <c r="G57" s="675">
        <f>G56*SISENDID!$E$418*1000</f>
        <v>0</v>
      </c>
      <c r="H57" s="675">
        <f>H56*SISENDID!$E$418*1000</f>
        <v>66357.904191798632</v>
      </c>
      <c r="I57" s="675">
        <f>I56*SISENDID!$E$418*1000</f>
        <v>60716.77640462284</v>
      </c>
      <c r="J57" s="675">
        <f>J56*SISENDID!$E$418*1000</f>
        <v>55188.602786981646</v>
      </c>
      <c r="K57" s="675">
        <f>K56*SISENDID!$E$418*1000</f>
        <v>49771.69397985188</v>
      </c>
      <c r="L57" s="675">
        <f>L56*SISENDID!$E$418*1000</f>
        <v>44464.380969811056</v>
      </c>
      <c r="M57" s="675">
        <f>M56*SISENDID!$E$418*1000</f>
        <v>39265.014918764871</v>
      </c>
      <c r="N57" s="675">
        <f>N56*SISENDID!$E$418*1000</f>
        <v>37189.130017528463</v>
      </c>
      <c r="O57" s="675">
        <f>O56*SISENDID!$E$418*1000</f>
        <v>35163.375961583697</v>
      </c>
      <c r="P57" s="675">
        <f>P56*SISENDID!$E$418*1000</f>
        <v>33186.734021318298</v>
      </c>
      <c r="Q57" s="675">
        <f>Q56*SISENDID!$E$418*1000</f>
        <v>31258.20487755063</v>
      </c>
      <c r="R57" s="675">
        <f>R56*SISENDID!$E$418*1000</f>
        <v>29376.808261311297</v>
      </c>
      <c r="S57" s="675">
        <f>S56*SISENDID!$E$418*1000</f>
        <v>27541.582600241356</v>
      </c>
      <c r="T57" s="675">
        <f>T56*SISENDID!$E$418*1000</f>
        <v>25751.584671486031</v>
      </c>
      <c r="U57" s="675">
        <f>U56*SISENDID!$E$418*1000</f>
        <v>24005.889260965079</v>
      </c>
      <c r="V57" s="675">
        <f>V56*SISENDID!$E$418*1000</f>
        <v>22303.588828903037</v>
      </c>
      <c r="W57" s="675">
        <f>W56*SISENDID!$E$418*1000</f>
        <v>20643.79318150473</v>
      </c>
      <c r="X57" s="675">
        <f>X56*SISENDID!$E$418*1000</f>
        <v>19025.629148663596</v>
      </c>
      <c r="Y57" s="675">
        <f>Y56*SISENDID!$E$418*1000</f>
        <v>17448.24026759234</v>
      </c>
      <c r="Z57" s="675">
        <f>Z56*SISENDID!$E$418*1000</f>
        <v>15910.786472267502</v>
      </c>
      <c r="AA57" s="675">
        <f>AA56*SISENDID!$E$418*1000</f>
        <v>14412.443788581506</v>
      </c>
      <c r="AB57" s="675">
        <f>AB56*SISENDID!$E$418*1000</f>
        <v>12952.404035097692</v>
      </c>
      <c r="AC57" s="675">
        <f>AC56*SISENDID!$E$418*1000</f>
        <v>12298.71338975385</v>
      </c>
      <c r="AD57" s="675">
        <f>AD56*SISENDID!$E$418*1000</f>
        <v>11645.690493204795</v>
      </c>
      <c r="AE57" s="675">
        <f>AE56*SISENDID!$E$418*1000</f>
        <v>10993.330417208825</v>
      </c>
      <c r="AF57" s="675">
        <f>AF56*SISENDID!$E$418*1000</f>
        <v>10341.628266112924</v>
      </c>
      <c r="AG57" s="675">
        <f>AG56*SISENDID!$E$418*1000</f>
        <v>9690.5791766501152</v>
      </c>
      <c r="AH57" s="675">
        <f>AH56*SISENDID!$E$418*1000</f>
        <v>9040.1783177379475</v>
      </c>
      <c r="AI57" s="675">
        <f>AI56*SISENDID!$E$418*1000</f>
        <v>8390.4208902782666</v>
      </c>
      <c r="AJ57" s="675">
        <f>AJ56*SISENDID!$E$418*1000</f>
        <v>7741.3021269581277</v>
      </c>
      <c r="AK57" s="675">
        <f>AK56*SISENDID!$E$418*1000</f>
        <v>7092.8172920519382</v>
      </c>
      <c r="AL57" s="675">
        <f>AL56*SISENDID!$E$418*1000</f>
        <v>6444.9616812247486</v>
      </c>
      <c r="AM57" s="675">
        <f>AM56*SISENDID!$E$418*1000</f>
        <v>5797.7306213367528</v>
      </c>
      <c r="AN57" s="675">
        <f>AN56*SISENDID!$E$418*1000</f>
        <v>5151.1194702489429</v>
      </c>
      <c r="AO57" s="675">
        <f>AO56*SISENDID!$E$418*1000</f>
        <v>4505.1236166299241</v>
      </c>
      <c r="AP57" s="675">
        <f>AP56*SISENDID!$E$418*1000</f>
        <v>3859.7384797638961</v>
      </c>
      <c r="AQ57" s="675">
        <f>AQ56*SISENDID!$E$418*1000</f>
        <v>3214.9595093597814</v>
      </c>
      <c r="AR57" s="675">
        <f>AR56*SISENDID!$E$418*1000</f>
        <v>2570.7821853614932</v>
      </c>
      <c r="AS57" s="675">
        <f>AS56*SISENDID!$E$418*1000</f>
        <v>1927.2020177593452</v>
      </c>
      <c r="AT57" s="675">
        <f>AT56*SISENDID!$E$418*1000</f>
        <v>1284.2145464025862</v>
      </c>
      <c r="AU57" s="675">
        <f>AU56*SISENDID!$E$418*1000</f>
        <v>641.81534081306461</v>
      </c>
      <c r="AV57" s="676">
        <f>AV56*SISENDID!$E$418*1000</f>
        <v>0</v>
      </c>
    </row>
    <row r="58" spans="2:48" s="15" customFormat="1" ht="13.5" outlineLevel="1" x14ac:dyDescent="0.25">
      <c r="B58" s="817" t="s">
        <v>1287</v>
      </c>
      <c r="C58" s="818" t="s">
        <v>659</v>
      </c>
      <c r="D58" s="675">
        <f>D$55/100*SISENDID!F262*1000</f>
        <v>0</v>
      </c>
      <c r="E58" s="675">
        <f>E$55/100*SISENDID!G262*1000</f>
        <v>0</v>
      </c>
      <c r="F58" s="675">
        <f>F$55/100*SISENDID!H262*1000</f>
        <v>0</v>
      </c>
      <c r="G58" s="675">
        <f>G$55/100*SISENDID!I262*1000</f>
        <v>0</v>
      </c>
      <c r="H58" s="675">
        <f>H$55/100*SISENDID!J262*1000</f>
        <v>11882.98748245469</v>
      </c>
      <c r="I58" s="675">
        <f>I$55/100*SISENDID!K262*1000</f>
        <v>13209.652698882614</v>
      </c>
      <c r="J58" s="675">
        <f>J$55/100*SISENDID!L262*1000</f>
        <v>14532.005902658155</v>
      </c>
      <c r="K58" s="675">
        <f>K$55/100*SISENDID!M262*1000</f>
        <v>15850.052291144431</v>
      </c>
      <c r="L58" s="675">
        <f>L$55/100*SISENDID!N262*1000</f>
        <v>17163.79709954893</v>
      </c>
      <c r="M58" s="675">
        <f>M$55/100*SISENDID!O262*1000</f>
        <v>18473.245600506067</v>
      </c>
      <c r="N58" s="675">
        <f>N$55/100*SISENDID!P262*1000</f>
        <v>18950.336092797232</v>
      </c>
      <c r="O58" s="675">
        <f>O$55/100*SISENDID!Q262*1000</f>
        <v>19425.456415558783</v>
      </c>
      <c r="P58" s="675">
        <f>P$55/100*SISENDID!R262*1000</f>
        <v>19898.612480679774</v>
      </c>
      <c r="Q58" s="675">
        <f>Q$55/100*SISENDID!S262*1000</f>
        <v>20369.810184584483</v>
      </c>
      <c r="R58" s="675">
        <f>R$55/100*SISENDID!T262*1000</f>
        <v>20839.055408269178</v>
      </c>
      <c r="S58" s="675">
        <f>S$55/100*SISENDID!U262*1000</f>
        <v>21306.354017338686</v>
      </c>
      <c r="T58" s="675">
        <f>T$55/100*SISENDID!V262*1000</f>
        <v>21771.711862042979</v>
      </c>
      <c r="U58" s="675">
        <f>U$55/100*SISENDID!W262*1000</f>
        <v>22235.134777313619</v>
      </c>
      <c r="V58" s="675">
        <f>V$55/100*SISENDID!X262*1000</f>
        <v>22696.628582800153</v>
      </c>
      <c r="W58" s="675">
        <f>W$55/100*SISENDID!Y262*1000</f>
        <v>23156.199082906434</v>
      </c>
      <c r="X58" s="675">
        <f>X$55/100*SISENDID!Z262*1000</f>
        <v>23613.852066826854</v>
      </c>
      <c r="Y58" s="675">
        <f>Y$55/100*SISENDID!AA262*1000</f>
        <v>24069.593308582516</v>
      </c>
      <c r="Z58" s="675">
        <f>Z$55/100*SISENDID!AB262*1000</f>
        <v>24523.428567057304</v>
      </c>
      <c r="AA58" s="675">
        <f>AA$55/100*SISENDID!AC262*1000</f>
        <v>24975.363586033905</v>
      </c>
      <c r="AB58" s="675">
        <f>AB$55/100*SISENDID!AD262*1000</f>
        <v>25425.404094229711</v>
      </c>
      <c r="AC58" s="675">
        <f>AC$55/100*SISENDID!AE262*1000</f>
        <v>25610.493388908209</v>
      </c>
      <c r="AD58" s="675">
        <f>AD$55/100*SISENDID!AF262*1000</f>
        <v>25795.123635256346</v>
      </c>
      <c r="AE58" s="675">
        <f>AE$55/100*SISENDID!AG262*1000</f>
        <v>25979.293456357329</v>
      </c>
      <c r="AF58" s="675">
        <f>AF$55/100*SISENDID!AH262*1000</f>
        <v>26163.001497790498</v>
      </c>
      <c r="AG58" s="675">
        <f>AG$55/100*SISENDID!AI262*1000</f>
        <v>26346.246427457161</v>
      </c>
      <c r="AH58" s="675">
        <f>AH$55/100*SISENDID!AJ262*1000</f>
        <v>26529.026935407481</v>
      </c>
      <c r="AI58" s="675">
        <f>AI$55/100*SISENDID!AK262*1000</f>
        <v>26711.341733668607</v>
      </c>
      <c r="AJ58" s="675">
        <f>AJ$55/100*SISENDID!AL262*1000</f>
        <v>26893.189556073812</v>
      </c>
      <c r="AK58" s="675">
        <f>AK$55/100*SISENDID!AM262*1000</f>
        <v>27074.569158092745</v>
      </c>
      <c r="AL58" s="675">
        <f>AL$55/100*SISENDID!AN262*1000</f>
        <v>27255.479316662884</v>
      </c>
      <c r="AM58" s="675">
        <f>AM$55/100*SISENDID!AO262*1000</f>
        <v>27435.918830021928</v>
      </c>
      <c r="AN58" s="675">
        <f>AN$55/100*SISENDID!AP262*1000</f>
        <v>27615.886517541399</v>
      </c>
      <c r="AO58" s="675">
        <f>AO$55/100*SISENDID!AQ262*1000</f>
        <v>27795.381219561245</v>
      </c>
      <c r="AP58" s="675">
        <f>AP$55/100*SISENDID!AR262*1000</f>
        <v>27974.401797225568</v>
      </c>
      <c r="AQ58" s="675">
        <f>AQ$55/100*SISENDID!AS262*1000</f>
        <v>28152.947132319379</v>
      </c>
      <c r="AR58" s="675">
        <f>AR$55/100*SISENDID!AT262*1000</f>
        <v>28331.016127106446</v>
      </c>
      <c r="AS58" s="675">
        <f>AS$55/100*SISENDID!AU262*1000</f>
        <v>28508.607704168131</v>
      </c>
      <c r="AT58" s="675">
        <f>AT$55/100*SISENDID!AV262*1000</f>
        <v>28685.720806243393</v>
      </c>
      <c r="AU58" s="675">
        <f>AU$55/100*SISENDID!AW262*1000</f>
        <v>28862.354396069688</v>
      </c>
      <c r="AV58" s="676">
        <f>AV$55/100*SISENDID!AX262*1000</f>
        <v>29038.507456224979</v>
      </c>
    </row>
    <row r="59" spans="2:48" s="39" customFormat="1" ht="13.5" outlineLevel="1" x14ac:dyDescent="0.25">
      <c r="B59" s="689" t="s">
        <v>1261</v>
      </c>
      <c r="C59" s="693" t="s">
        <v>853</v>
      </c>
      <c r="D59" s="710">
        <f>D$55*SISENDID!E263</f>
        <v>0</v>
      </c>
      <c r="E59" s="710">
        <f>E$55*SISENDID!F263</f>
        <v>0</v>
      </c>
      <c r="F59" s="710">
        <f>F$55*SISENDID!G263</f>
        <v>0</v>
      </c>
      <c r="G59" s="710">
        <f>G$55*SISENDID!H263</f>
        <v>0</v>
      </c>
      <c r="H59" s="710">
        <f>H$55*SISENDID!I263</f>
        <v>19417.077355164049</v>
      </c>
      <c r="I59" s="710">
        <f>I$55*SISENDID!J263</f>
        <v>17832.499161472635</v>
      </c>
      <c r="J59" s="710">
        <f>J$55*SISENDID!K263</f>
        <v>16279.034588736378</v>
      </c>
      <c r="K59" s="710">
        <f>K$55*SISENDID!L263</f>
        <v>14756.252608765655</v>
      </c>
      <c r="L59" s="710">
        <f>L$55*SISENDID!M263</f>
        <v>13263.726164002204</v>
      </c>
      <c r="M59" s="710">
        <f>M$55*SISENDID!N263</f>
        <v>11801.032175017304</v>
      </c>
      <c r="N59" s="710">
        <f>N$55*SISENDID!O263</f>
        <v>10367.751546392072</v>
      </c>
      <c r="O59" s="710">
        <f>O$55*SISENDID!P263</f>
        <v>9812.5258958205486</v>
      </c>
      <c r="P59" s="710">
        <f>P$55*SISENDID!Q263</f>
        <v>9271.2490915636627</v>
      </c>
      <c r="Q59" s="710">
        <f>Q$55*SISENDID!R263</f>
        <v>8743.619320894275</v>
      </c>
      <c r="R59" s="710">
        <f>R$55*SISENDID!S263</f>
        <v>8229.3410283120465</v>
      </c>
      <c r="S59" s="710">
        <f>S$55*SISENDID!T263</f>
        <v>7728.1247869408053</v>
      </c>
      <c r="T59" s="710">
        <f>T$55*SISENDID!U263</f>
        <v>7239.6871725742012</v>
      </c>
      <c r="U59" s="710">
        <f>U$55*SISENDID!V263</f>
        <v>6763.7506403148191</v>
      </c>
      <c r="V59" s="710">
        <f>V$55*SISENDID!W263</f>
        <v>6300.0434037532223</v>
      </c>
      <c r="W59" s="710">
        <f>W$55*SISENDID!X263</f>
        <v>5848.299316634394</v>
      </c>
      <c r="X59" s="710">
        <f>X$55*SISENDID!Y263</f>
        <v>5408.2577569602508</v>
      </c>
      <c r="Y59" s="710">
        <f>Y$55*SISENDID!Z263</f>
        <v>4979.6635134778162</v>
      </c>
      <c r="Z59" s="710">
        <f>Z$55*SISENDID!AA263</f>
        <v>4562.2666745038423</v>
      </c>
      <c r="AA59" s="710">
        <f>AA$55*SISENDID!AB263</f>
        <v>4155.8225190375551</v>
      </c>
      <c r="AB59" s="710">
        <f>AB$55*SISENDID!AC263</f>
        <v>3760.0914101142944</v>
      </c>
      <c r="AC59" s="710">
        <f>AC$55*SISENDID!AD263</f>
        <v>3374.8386903537453</v>
      </c>
      <c r="AD59" s="710">
        <f>AD$55*SISENDID!AE263</f>
        <v>3163.4155229950343</v>
      </c>
      <c r="AE59" s="710">
        <f>AE$55*SISENDID!AF263</f>
        <v>2957.0576912970769</v>
      </c>
      <c r="AF59" s="710">
        <f>AF$55*SISENDID!AG263</f>
        <v>2755.6616217505011</v>
      </c>
      <c r="AG59" s="710">
        <f>AG$55*SISENDID!AH263</f>
        <v>2559.1257794342951</v>
      </c>
      <c r="AH59" s="710">
        <f>AH$55*SISENDID!AI263</f>
        <v>2367.3506278949039</v>
      </c>
      <c r="AI59" s="710">
        <f>AI$55*SISENDID!AJ263</f>
        <v>2180.2385898242005</v>
      </c>
      <c r="AJ59" s="710">
        <f>AJ$55*SISENDID!AK263</f>
        <v>1997.694008520222</v>
      </c>
      <c r="AK59" s="710">
        <f>AK$55*SISENDID!AL263</f>
        <v>1819.6231101148908</v>
      </c>
      <c r="AL59" s="710">
        <f>AL$55*SISENDID!AM263</f>
        <v>1645.9339665532609</v>
      </c>
      <c r="AM59" s="710">
        <f>AM$55*SISENDID!AN263</f>
        <v>1476.5364593091463</v>
      </c>
      <c r="AN59" s="710">
        <f>AN$55*SISENDID!AO263</f>
        <v>1311.3422438222967</v>
      </c>
      <c r="AO59" s="710">
        <f>AO$55*SISENDID!AP263</f>
        <v>1150.2647146425804</v>
      </c>
      <c r="AP59" s="710">
        <f>AP$55*SISENDID!AQ263</f>
        <v>993.21897126693966</v>
      </c>
      <c r="AQ59" s="710">
        <f>AQ$55*SISENDID!AR263</f>
        <v>840.12178465517354</v>
      </c>
      <c r="AR59" s="710">
        <f>AR$55*SISENDID!AS263</f>
        <v>690.89156441087152</v>
      </c>
      <c r="AS59" s="710">
        <f>AS$55*SISENDID!AT263</f>
        <v>545.44832661412011</v>
      </c>
      <c r="AT59" s="710">
        <f>AT$55*SISENDID!AU263</f>
        <v>403.71366229286292</v>
      </c>
      <c r="AU59" s="710">
        <f>AU$55*SISENDID!AV263</f>
        <v>265.61070652006504</v>
      </c>
      <c r="AV59" s="426">
        <f>AV$55*SISENDID!AW263</f>
        <v>131.06410812409672</v>
      </c>
    </row>
    <row r="61" spans="2:48" x14ac:dyDescent="0.25">
      <c r="D61" s="125"/>
    </row>
    <row r="62" spans="2:48" x14ac:dyDescent="0.25">
      <c r="D62" s="294"/>
      <c r="E62" s="127"/>
    </row>
    <row r="63" spans="2:48" x14ac:dyDescent="0.25">
      <c r="D63" s="294"/>
      <c r="E63" s="128"/>
    </row>
    <row r="64" spans="2:48" x14ac:dyDescent="0.25">
      <c r="D64" s="294"/>
      <c r="E64" s="128"/>
    </row>
    <row r="65" spans="4:5" x14ac:dyDescent="0.25">
      <c r="D65" s="129"/>
      <c r="E65" s="128"/>
    </row>
    <row r="66" spans="4:5" x14ac:dyDescent="0.25">
      <c r="E66" s="128"/>
    </row>
    <row r="67" spans="4:5" x14ac:dyDescent="0.25">
      <c r="E67" s="128"/>
    </row>
    <row r="68" spans="4:5" x14ac:dyDescent="0.25">
      <c r="E68" s="127"/>
    </row>
    <row r="69" spans="4:5" x14ac:dyDescent="0.25">
      <c r="E69" s="127"/>
    </row>
    <row r="70" spans="4:5" x14ac:dyDescent="0.25">
      <c r="E70" s="127"/>
    </row>
    <row r="71" spans="4:5" x14ac:dyDescent="0.25">
      <c r="E71" s="127"/>
    </row>
  </sheetData>
  <sheetProtection algorithmName="SHA-512" hashValue="xE5JymNavBtBD/i3SvH2JtFZBy+Ymwvb7qyT3v4xWdszCV/VfpFVyBD25TBWoHs2oFwKiglaI34ulcNT3ABvHw==" saltValue="xf8TkuM+zQDS1dOryJXGsg==" spinCount="100000" sheet="1" objects="1" scenarios="1" selectLockedCells="1"/>
  <mergeCells count="2">
    <mergeCell ref="B3:E3"/>
    <mergeCell ref="F3:L3"/>
  </mergeCells>
  <conditionalFormatting sqref="C31:C33">
    <cfRule type="containsText" dxfId="26" priority="1" operator="containsText" text="Kõrge">
      <formula>NOT(ISERROR(SEARCH("Kõrge",C31)))</formula>
    </cfRule>
    <cfRule type="containsText" dxfId="25" priority="2" operator="containsText" text="Mõõdukas">
      <formula>NOT(ISERROR(SEARCH("Mõõdukas",C31)))</formula>
    </cfRule>
    <cfRule type="containsText" dxfId="24" priority="3" operator="containsText" text="Madal">
      <formula>NOT(ISERROR(SEARCH("Madal",C31)))</formula>
    </cfRule>
  </conditionalFormatting>
  <dataValidations count="3">
    <dataValidation type="list" allowBlank="1" showInputMessage="1" showErrorMessage="1" sqref="C33" xr:uid="{2D80AFDD-711B-4C71-9A56-A55ACA6CE1CA}">
      <formula1>I31:I33</formula1>
    </dataValidation>
    <dataValidation type="list" allowBlank="1" showInputMessage="1" showErrorMessage="1" sqref="C32" xr:uid="{644B3FE8-87A9-4AA3-ADFF-5FDF4D801D85}">
      <formula1>I31:I33</formula1>
    </dataValidation>
    <dataValidation type="list" allowBlank="1" showInputMessage="1" showErrorMessage="1" sqref="C31" xr:uid="{433C398B-0342-47D9-BA0F-8EE6B67C3853}">
      <formula1>I31:I33</formula1>
    </dataValidation>
  </dataValidations>
  <hyperlinks>
    <hyperlink ref="B1" location="MEETMED!A1" display="&lt;-MEETMETE NIMEKIRI" xr:uid="{D3693754-6412-4AB7-A463-165C063DEC73}"/>
  </hyperlink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6E668-B3AC-47C6-90E7-B6791F97B253}">
  <sheetPr>
    <tabColor theme="5" tint="0.79998168889431442"/>
  </sheetPr>
  <dimension ref="A1:AV75"/>
  <sheetViews>
    <sheetView showGridLines="0" zoomScaleNormal="100" workbookViewId="0">
      <selection activeCell="F10" sqref="F10"/>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7" width="11.85546875" customWidth="1"/>
    <col min="8" max="8" width="11.7109375" customWidth="1"/>
    <col min="9" max="9" width="12.5703125" customWidth="1"/>
    <col min="10" max="10" width="11.7109375"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138" customHeight="1" x14ac:dyDescent="0.25">
      <c r="A3" s="260" t="s">
        <v>436</v>
      </c>
      <c r="B3" s="988" t="e">
        <f>"MEEDE: "&amp;VLOOKUP(A3,MEETMED!B:G,2,FALSE)</f>
        <v>#N/A</v>
      </c>
      <c r="C3" s="988"/>
      <c r="D3" s="988"/>
      <c r="E3" s="988"/>
      <c r="F3" s="990" t="str" cm="1">
        <f t="array" ref="F3">IF(A3="","",_xlfn.LET(
_xlpm.k,TRIM(A3),
_xlpm.codes,IF(ISNUMBER(SEARCH("-",_xlpm.k)),
_xlfn.LET(
_xlpm.startPart,_xlfn.TEXTBEFORE(_xlpm.k,"-"),
_xlpm.endNum,--_xlfn.TEXTAFTER(_xlpm.k,"-"),
_xlpm.p,MIN(IFERROR(FIND({0;1;2;3;4;5;6;7;8;9},_xlpm.startPart),1000000000)),
_xlpm.prefix,LEFT(_xlpm.startPart,_xlpm.p-1),
_xlpm.startNum,--MID(_xlpm.startPart,_xlpm.p,99),
_xlpm.prefix&amp;_xlfn.SEQUENCE(_xlpm.endNum-_xlpm.startNum+1,1,_xlpm.startNum,1)
),
_xlpm.k
),
_xlpm.tegevused,IFERROR(_xlfn._xlws.FILTER(MEETMED!$D:$D,ISNUMBER(MATCH(MEETMED!$B:$B,_xlpm.codes,0))),""),
"TEGEVUS: "&amp;_xlfn.TEXTJOIN(CHAR(10),TRUE,_xlpm.tegevused)
))</f>
        <v>TEGEVUS: Andmepõhiselt hea ühistranspordiga piirkondades parkimisalade piiramine; välja kaardistatud alad, kus on parem ÜT, siis vähendada parkimisalasid
Linnale kuuluvate parkimisalade (sh tänavapealse parkimise) asendamine haljastuse või hoonestusega - hoonestus ka linna tihendamise ja ruumikasutusega seotud; samuti haljastus maakasutuse poolelt
Tasulise parkimisala laiendamine üle kogu Tallinna
Uusarenduste puhul nõuda parkimise rajamist hoone sisse, maa alla või eraldi parkimismajja, mitte õuealale
Magalapiirkondades (nt Mustamäe, Lasnamäe) parkimishoonete rajamine, et hoonetevahelised alad taas haljastada
Kvaliteedinõuded väliparklatele (miinimum haljastuse %, puud, pinnas jm)</v>
      </c>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O5" s="1"/>
      <c r="P5" s="1"/>
      <c r="Q5" s="1"/>
      <c r="R5" s="1"/>
      <c r="S5" s="1"/>
      <c r="T5" s="1"/>
      <c r="U5" s="1"/>
      <c r="V5" s="1"/>
      <c r="W5" s="1"/>
      <c r="X5" s="1"/>
      <c r="Y5" s="1"/>
      <c r="Z5" s="1"/>
      <c r="AA5" s="1"/>
    </row>
    <row r="6" spans="1:27" s="1" customFormat="1" ht="19.5" customHeight="1" outlineLevel="1" x14ac:dyDescent="0.25">
      <c r="B6" s="13" t="s">
        <v>1350</v>
      </c>
      <c r="D6" s="2"/>
      <c r="F6" s="323"/>
      <c r="G6" s="323"/>
      <c r="H6" s="323"/>
    </row>
    <row r="7" spans="1:27" s="1" customFormat="1" ht="31.15" customHeight="1" outlineLevel="1" x14ac:dyDescent="0.25">
      <c r="B7" s="442" t="s">
        <v>1448</v>
      </c>
      <c r="C7" s="445" t="s">
        <v>1400</v>
      </c>
      <c r="D7" s="445" t="s">
        <v>1351</v>
      </c>
      <c r="E7" s="445" t="s">
        <v>1401</v>
      </c>
      <c r="F7" s="445" t="s">
        <v>1404</v>
      </c>
      <c r="G7" s="445" t="s">
        <v>1405</v>
      </c>
      <c r="H7" s="844" t="s">
        <v>1473</v>
      </c>
      <c r="J7" s="277" t="s">
        <v>876</v>
      </c>
    </row>
    <row r="8" spans="1:27" s="1" customFormat="1" outlineLevel="1" x14ac:dyDescent="0.25">
      <c r="B8" s="802" t="s">
        <v>1474</v>
      </c>
      <c r="C8" s="924">
        <v>2028</v>
      </c>
      <c r="D8" s="924">
        <v>8</v>
      </c>
      <c r="E8" s="840">
        <f>C8+D8-1</f>
        <v>2035</v>
      </c>
      <c r="F8" s="926">
        <v>0.01</v>
      </c>
      <c r="G8" s="926">
        <v>0</v>
      </c>
      <c r="H8" s="906">
        <v>0.02</v>
      </c>
      <c r="J8" s="893" t="s">
        <v>1670</v>
      </c>
      <c r="K8" s="305" t="s">
        <v>877</v>
      </c>
    </row>
    <row r="9" spans="1:27" s="1" customFormat="1" outlineLevel="1" x14ac:dyDescent="0.25">
      <c r="B9" s="802" t="s">
        <v>1475</v>
      </c>
      <c r="C9" s="924">
        <v>2028</v>
      </c>
      <c r="D9" s="924">
        <v>18</v>
      </c>
      <c r="E9" s="840">
        <f>C9+D9-1</f>
        <v>2045</v>
      </c>
      <c r="F9" s="926">
        <v>0.01</v>
      </c>
      <c r="G9" s="926">
        <v>0</v>
      </c>
      <c r="H9" s="906">
        <v>0.02</v>
      </c>
      <c r="J9" s="892" t="s">
        <v>878</v>
      </c>
      <c r="K9" s="305" t="s">
        <v>1669</v>
      </c>
    </row>
    <row r="10" spans="1:27" s="1" customFormat="1" outlineLevel="1" x14ac:dyDescent="0.25">
      <c r="B10" s="802" t="s">
        <v>1476</v>
      </c>
      <c r="C10" s="924">
        <v>2030</v>
      </c>
      <c r="D10" s="924">
        <v>5</v>
      </c>
      <c r="E10" s="840">
        <f>C10+D10-1</f>
        <v>2034</v>
      </c>
      <c r="F10" s="926">
        <v>0.01</v>
      </c>
      <c r="G10" s="926">
        <v>0</v>
      </c>
      <c r="H10" s="906">
        <v>0.02</v>
      </c>
      <c r="J10" s="892" t="s">
        <v>1671</v>
      </c>
      <c r="K10" s="228">
        <v>1234</v>
      </c>
    </row>
    <row r="11" spans="1:27" s="1" customFormat="1" outlineLevel="1" x14ac:dyDescent="0.25">
      <c r="B11" s="802" t="s">
        <v>1477</v>
      </c>
      <c r="C11" s="924">
        <v>2028</v>
      </c>
      <c r="D11" s="924">
        <v>8</v>
      </c>
      <c r="E11" s="840">
        <f t="shared" ref="E11" si="0">C11+D11-1</f>
        <v>2035</v>
      </c>
      <c r="F11" s="851"/>
      <c r="G11" s="851"/>
      <c r="H11" s="852"/>
      <c r="I11" s="309"/>
      <c r="K11" s="309"/>
    </row>
    <row r="12" spans="1:27" s="1" customFormat="1" outlineLevel="1" x14ac:dyDescent="0.25">
      <c r="B12" s="802" t="s">
        <v>1478</v>
      </c>
      <c r="C12" s="737"/>
      <c r="D12" s="737"/>
      <c r="E12" s="737"/>
      <c r="F12" s="737"/>
      <c r="G12" s="737"/>
      <c r="H12" s="740"/>
      <c r="I12" s="309"/>
    </row>
    <row r="13" spans="1:27" s="1" customFormat="1" outlineLevel="1" x14ac:dyDescent="0.25">
      <c r="B13" s="802" t="s">
        <v>1479</v>
      </c>
      <c r="C13" s="737"/>
      <c r="D13" s="737"/>
      <c r="E13" s="737"/>
      <c r="F13" s="737"/>
      <c r="G13" s="737"/>
      <c r="H13" s="740"/>
      <c r="I13" s="309"/>
    </row>
    <row r="14" spans="1:27" s="1" customFormat="1" outlineLevel="1" x14ac:dyDescent="0.25">
      <c r="S14" s="13"/>
    </row>
    <row r="15" spans="1:27" s="1" customFormat="1" outlineLevel="1" x14ac:dyDescent="0.25">
      <c r="B15" s="802" t="s">
        <v>1480</v>
      </c>
      <c r="C15" s="905">
        <v>7.1</v>
      </c>
      <c r="D15" s="7" t="s">
        <v>1481</v>
      </c>
      <c r="E15" s="309"/>
      <c r="F15" s="324" t="s">
        <v>1677</v>
      </c>
      <c r="G15" s="7"/>
      <c r="H15" s="7"/>
      <c r="I15" s="7"/>
      <c r="J15" s="7"/>
      <c r="K15" s="7"/>
      <c r="L15" s="7"/>
    </row>
    <row r="16" spans="1:27" s="1" customFormat="1" outlineLevel="1" x14ac:dyDescent="0.25">
      <c r="B16" s="802" t="s">
        <v>1482</v>
      </c>
      <c r="C16" s="904">
        <v>0.3</v>
      </c>
      <c r="D16" s="7"/>
      <c r="E16" s="309"/>
      <c r="F16" s="7"/>
      <c r="G16" s="7"/>
      <c r="H16" s="7"/>
      <c r="I16" s="7"/>
      <c r="J16" s="7"/>
      <c r="K16" s="7"/>
      <c r="L16" s="7"/>
    </row>
    <row r="17" spans="1:34" s="1" customFormat="1" outlineLevel="1" x14ac:dyDescent="0.25">
      <c r="B17" s="802" t="s">
        <v>1267</v>
      </c>
      <c r="C17" s="905">
        <v>3</v>
      </c>
      <c r="D17" s="7" t="s">
        <v>1232</v>
      </c>
      <c r="E17" s="309"/>
      <c r="F17" s="7" t="s">
        <v>1483</v>
      </c>
      <c r="G17" s="7"/>
      <c r="H17" s="7"/>
      <c r="I17" s="7"/>
      <c r="J17" s="7"/>
      <c r="K17" s="7"/>
      <c r="L17" s="7"/>
    </row>
    <row r="18" spans="1:34" s="1" customFormat="1" outlineLevel="1" x14ac:dyDescent="0.25">
      <c r="B18" s="802" t="s">
        <v>1268</v>
      </c>
      <c r="C18" s="905">
        <v>1.4</v>
      </c>
      <c r="D18" s="7" t="s">
        <v>1269</v>
      </c>
      <c r="E18" s="165"/>
      <c r="F18" s="7" t="s">
        <v>1270</v>
      </c>
      <c r="G18" s="7"/>
      <c r="H18" s="7"/>
      <c r="I18" s="7"/>
      <c r="J18" s="7"/>
      <c r="K18" s="7"/>
      <c r="L18" s="7"/>
    </row>
    <row r="19" spans="1:34" s="1" customFormat="1" outlineLevel="1" x14ac:dyDescent="0.25">
      <c r="B19" s="802" t="s">
        <v>1217</v>
      </c>
      <c r="C19" s="905">
        <v>1.5</v>
      </c>
      <c r="D19" s="7" t="s">
        <v>1218</v>
      </c>
      <c r="E19" s="305"/>
      <c r="F19" s="7" t="s">
        <v>1384</v>
      </c>
      <c r="G19" s="7"/>
      <c r="H19" s="7"/>
      <c r="I19" s="7"/>
      <c r="J19" s="7"/>
      <c r="K19" s="7"/>
      <c r="L19" s="7"/>
    </row>
    <row r="20" spans="1:34" s="1" customFormat="1" outlineLevel="1" x14ac:dyDescent="0.25">
      <c r="B20" s="802" t="s">
        <v>1275</v>
      </c>
      <c r="C20" s="905">
        <v>0.2</v>
      </c>
      <c r="D20" s="7" t="s">
        <v>1220</v>
      </c>
      <c r="E20" s="305"/>
      <c r="F20" s="7"/>
      <c r="G20" s="7"/>
      <c r="H20" s="7"/>
      <c r="I20" s="7"/>
      <c r="J20" s="7"/>
      <c r="K20" s="7"/>
      <c r="L20" s="7"/>
    </row>
    <row r="21" spans="1:34" s="1" customFormat="1" outlineLevel="1" x14ac:dyDescent="0.25">
      <c r="B21" s="802" t="s">
        <v>1222</v>
      </c>
      <c r="C21" s="904">
        <v>0.5</v>
      </c>
      <c r="D21" s="7" t="s">
        <v>1223</v>
      </c>
      <c r="E21" s="305"/>
      <c r="F21" s="7" t="s">
        <v>1385</v>
      </c>
      <c r="G21" s="7"/>
      <c r="H21" s="7"/>
      <c r="I21" s="7"/>
      <c r="J21" s="7"/>
      <c r="K21" s="7"/>
      <c r="L21" s="7"/>
    </row>
    <row r="22" spans="1:34" s="1" customFormat="1" x14ac:dyDescent="0.25">
      <c r="B22" s="6"/>
      <c r="C22" s="6"/>
      <c r="D22" s="7"/>
      <c r="E22" s="7"/>
    </row>
    <row r="23" spans="1:34" x14ac:dyDescent="0.25">
      <c r="A23" s="1"/>
      <c r="B23" s="659" t="s">
        <v>895</v>
      </c>
      <c r="C23" s="659"/>
      <c r="D23" s="659"/>
      <c r="E23" s="659"/>
      <c r="F23" s="659"/>
      <c r="G23" s="659"/>
      <c r="H23" s="659"/>
      <c r="I23" s="659"/>
      <c r="J23" s="659"/>
      <c r="K23" s="659"/>
      <c r="L23" s="659"/>
      <c r="M23" s="1"/>
      <c r="N23" s="1"/>
      <c r="O23" s="1"/>
      <c r="P23" s="1"/>
      <c r="Q23" s="1"/>
      <c r="R23" s="1"/>
      <c r="S23" s="1"/>
      <c r="T23" s="1"/>
      <c r="U23" s="1"/>
      <c r="V23" s="1"/>
      <c r="W23" s="1"/>
      <c r="X23" s="1"/>
      <c r="Y23" s="1"/>
      <c r="Z23" s="1"/>
      <c r="AA23" s="1"/>
      <c r="AB23" s="1"/>
      <c r="AC23" s="1"/>
      <c r="AD23" s="1"/>
      <c r="AE23" s="1"/>
      <c r="AF23" s="1"/>
      <c r="AG23" s="1"/>
      <c r="AH23" s="1"/>
    </row>
    <row r="24" spans="1:34" s="1" customFormat="1" ht="3.75" customHeight="1" outlineLevel="1" x14ac:dyDescent="0.25"/>
    <row r="25" spans="1:34" s="1" customFormat="1" outlineLevel="1" x14ac:dyDescent="0.25">
      <c r="B25" s="13" t="s">
        <v>896</v>
      </c>
      <c r="D25" s="43"/>
      <c r="E25" s="829" t="s">
        <v>897</v>
      </c>
      <c r="F25" s="511"/>
    </row>
    <row r="26" spans="1:34" s="1" customFormat="1" outlineLevel="1" x14ac:dyDescent="0.25">
      <c r="B26" s="660" t="s">
        <v>898</v>
      </c>
      <c r="C26" s="665" t="s">
        <v>899</v>
      </c>
      <c r="D26" s="43"/>
      <c r="E26" s="661"/>
      <c r="F26" s="662" t="s">
        <v>900</v>
      </c>
    </row>
    <row r="27" spans="1:34" s="1" customFormat="1" outlineLevel="1" x14ac:dyDescent="0.25">
      <c r="B27" s="663" t="s">
        <v>398</v>
      </c>
      <c r="C27" s="666">
        <v>0</v>
      </c>
      <c r="D27" s="235"/>
      <c r="E27" s="663">
        <v>2030</v>
      </c>
      <c r="F27" s="670">
        <f>H63</f>
        <v>0</v>
      </c>
    </row>
    <row r="28" spans="1:34" s="1" customFormat="1" outlineLevel="1" x14ac:dyDescent="0.25">
      <c r="B28" s="155" t="s">
        <v>399</v>
      </c>
      <c r="C28" s="667">
        <v>0</v>
      </c>
      <c r="D28" s="235"/>
      <c r="E28" s="155">
        <v>2035</v>
      </c>
      <c r="F28" s="428">
        <f>M63</f>
        <v>1770.1548262525955</v>
      </c>
    </row>
    <row r="29" spans="1:34" s="1" customFormat="1" outlineLevel="1" x14ac:dyDescent="0.25">
      <c r="B29" s="663" t="s">
        <v>400</v>
      </c>
      <c r="C29" s="666">
        <f>SUM(D51:AB51)/25/1000</f>
        <v>-5.3412202138594944</v>
      </c>
      <c r="D29" s="235"/>
      <c r="E29" s="663">
        <v>2040</v>
      </c>
      <c r="F29" s="670">
        <f>R63</f>
        <v>2468.8023084936135</v>
      </c>
    </row>
    <row r="30" spans="1:34" s="1" customFormat="1" ht="15" customHeight="1" outlineLevel="1" x14ac:dyDescent="0.25">
      <c r="B30" s="155" t="s">
        <v>401</v>
      </c>
      <c r="C30" s="667">
        <f>-SUM(D49:AB49)/25/1000</f>
        <v>1.3632</v>
      </c>
      <c r="D30" s="235"/>
      <c r="E30" s="155">
        <v>2045</v>
      </c>
      <c r="F30" s="428">
        <f>W63</f>
        <v>1754.4897949903184</v>
      </c>
    </row>
    <row r="31" spans="1:34" s="1" customFormat="1" outlineLevel="1" x14ac:dyDescent="0.25">
      <c r="B31" s="663" t="s">
        <v>901</v>
      </c>
      <c r="C31" s="670">
        <f>MAX(D63:AR63)</f>
        <v>3110.3254639176216</v>
      </c>
      <c r="D31" s="235"/>
      <c r="E31" s="663">
        <v>2050</v>
      </c>
      <c r="F31" s="670">
        <f>AB63</f>
        <v>1692.0411345514326</v>
      </c>
    </row>
    <row r="32" spans="1:34" s="1" customFormat="1" outlineLevel="1" x14ac:dyDescent="0.25">
      <c r="B32" s="155" t="s">
        <v>1386</v>
      </c>
      <c r="C32" s="428">
        <f>SUM(D61:AB62)/1000</f>
        <v>248.8424516546157</v>
      </c>
      <c r="D32" s="235"/>
      <c r="E32" s="7"/>
    </row>
    <row r="33" spans="1:48" s="1" customFormat="1" outlineLevel="1" x14ac:dyDescent="0.25">
      <c r="B33" s="663" t="s">
        <v>403</v>
      </c>
      <c r="C33" s="670">
        <f>SUM(D51:AV51)*1000/SUM(D63:AV63)</f>
        <v>-6001.5954640422879</v>
      </c>
      <c r="D33" s="235"/>
      <c r="E33" s="7"/>
    </row>
    <row r="34" spans="1:48" s="1" customFormat="1" outlineLevel="1" x14ac:dyDescent="0.25">
      <c r="B34" s="13"/>
      <c r="C34" s="236"/>
      <c r="E34" s="7"/>
    </row>
    <row r="35" spans="1:48" s="1" customFormat="1" outlineLevel="1" x14ac:dyDescent="0.25">
      <c r="A35" s="2"/>
      <c r="B35" s="284" t="s">
        <v>903</v>
      </c>
      <c r="D35" s="43"/>
      <c r="E35" s="7"/>
      <c r="I35" s="277" t="s">
        <v>876</v>
      </c>
    </row>
    <row r="36" spans="1:48" s="1" customFormat="1" ht="16.5" customHeight="1" outlineLevel="1" x14ac:dyDescent="0.25">
      <c r="A36" s="2"/>
      <c r="B36" s="155" t="s">
        <v>904</v>
      </c>
      <c r="C36" s="307" t="s">
        <v>905</v>
      </c>
      <c r="D36" s="12"/>
      <c r="E36" s="12"/>
      <c r="F36" s="12"/>
      <c r="G36" s="12"/>
      <c r="H36" s="12"/>
      <c r="I36" s="311" t="s">
        <v>474</v>
      </c>
      <c r="J36" s="295" t="s">
        <v>906</v>
      </c>
    </row>
    <row r="37" spans="1:48" s="1" customFormat="1" outlineLevel="1" x14ac:dyDescent="0.25">
      <c r="A37" s="2"/>
      <c r="B37" s="155" t="s">
        <v>907</v>
      </c>
      <c r="C37" s="307" t="s">
        <v>910</v>
      </c>
      <c r="D37" s="397">
        <f>IF(C37="Kõrge",3,IF(C37="Mõõdukas",2,1))</f>
        <v>1</v>
      </c>
      <c r="E37" s="12"/>
      <c r="F37" s="12"/>
      <c r="G37" s="12"/>
      <c r="H37" s="12"/>
      <c r="I37" s="312" t="s">
        <v>905</v>
      </c>
      <c r="J37" s="295" t="s">
        <v>908</v>
      </c>
    </row>
    <row r="38" spans="1:48" s="1" customFormat="1" outlineLevel="1" x14ac:dyDescent="0.25">
      <c r="A38" s="2"/>
      <c r="B38" s="155" t="s">
        <v>909</v>
      </c>
      <c r="C38" s="307" t="s">
        <v>905</v>
      </c>
      <c r="D38" s="397">
        <f>IF(C38="Kõrge",3,IF(C38="Mõõdukas",2,1))</f>
        <v>2</v>
      </c>
      <c r="E38" s="12"/>
      <c r="F38" s="12"/>
      <c r="I38" s="313" t="s">
        <v>910</v>
      </c>
      <c r="J38" s="295" t="s">
        <v>911</v>
      </c>
    </row>
    <row r="39" spans="1:48" s="1" customFormat="1" x14ac:dyDescent="0.25">
      <c r="B39" s="4"/>
      <c r="C39" s="399" t="s">
        <v>912</v>
      </c>
      <c r="D39" s="398">
        <f>D38+D37</f>
        <v>3</v>
      </c>
      <c r="E39" s="12"/>
      <c r="F39" s="12"/>
      <c r="G39" s="12"/>
      <c r="H39" s="12"/>
    </row>
    <row r="40" spans="1:48" x14ac:dyDescent="0.25">
      <c r="A40" s="1"/>
      <c r="B40" s="659" t="s">
        <v>913</v>
      </c>
      <c r="C40" s="659"/>
      <c r="D40" s="659"/>
      <c r="E40" s="659"/>
      <c r="F40" s="659"/>
      <c r="G40" s="659"/>
      <c r="H40" s="659"/>
      <c r="I40" s="659"/>
      <c r="J40" s="659"/>
      <c r="K40" s="659"/>
      <c r="L40" s="659"/>
      <c r="M40" s="659"/>
      <c r="N40" s="659"/>
      <c r="O40" s="659"/>
      <c r="P40" s="659"/>
      <c r="Q40" s="659"/>
      <c r="R40" s="659"/>
      <c r="S40" s="659"/>
      <c r="T40" s="659"/>
      <c r="U40" s="659"/>
      <c r="V40" s="659"/>
      <c r="W40" s="659"/>
      <c r="X40" s="659"/>
      <c r="Y40" s="659"/>
      <c r="Z40" s="659"/>
      <c r="AA40" s="659"/>
      <c r="AB40" s="659"/>
      <c r="AC40" s="659"/>
      <c r="AD40" s="659"/>
      <c r="AE40" s="659"/>
      <c r="AF40" s="659"/>
      <c r="AG40" s="659"/>
      <c r="AH40" s="659"/>
      <c r="AI40" s="659"/>
      <c r="AJ40" s="659"/>
      <c r="AK40" s="659"/>
      <c r="AL40" s="659"/>
      <c r="AM40" s="659"/>
      <c r="AN40" s="659"/>
      <c r="AO40" s="659"/>
      <c r="AP40" s="659"/>
      <c r="AQ40" s="659"/>
      <c r="AR40" s="659"/>
      <c r="AS40" s="659"/>
      <c r="AT40" s="659"/>
      <c r="AU40" s="659"/>
      <c r="AV40" s="659"/>
    </row>
    <row r="41" spans="1:48" s="15" customFormat="1" ht="7.5" customHeight="1" outlineLevel="1" x14ac:dyDescent="0.25"/>
    <row r="42" spans="1:48" s="15" customFormat="1" ht="13.5" outlineLevel="1" x14ac:dyDescent="0.25">
      <c r="B42" s="715" t="s">
        <v>914</v>
      </c>
      <c r="C42" s="719"/>
      <c r="D42" s="432">
        <v>2026</v>
      </c>
      <c r="E42" s="432">
        <f>D42+1</f>
        <v>2027</v>
      </c>
      <c r="F42" s="432">
        <f t="shared" ref="F42:AV42" si="1">E42+1</f>
        <v>2028</v>
      </c>
      <c r="G42" s="432">
        <f t="shared" si="1"/>
        <v>2029</v>
      </c>
      <c r="H42" s="432">
        <f t="shared" si="1"/>
        <v>2030</v>
      </c>
      <c r="I42" s="432">
        <f t="shared" si="1"/>
        <v>2031</v>
      </c>
      <c r="J42" s="432">
        <f t="shared" si="1"/>
        <v>2032</v>
      </c>
      <c r="K42" s="432">
        <f t="shared" si="1"/>
        <v>2033</v>
      </c>
      <c r="L42" s="432">
        <f t="shared" si="1"/>
        <v>2034</v>
      </c>
      <c r="M42" s="432">
        <f t="shared" si="1"/>
        <v>2035</v>
      </c>
      <c r="N42" s="432">
        <f>M42+1</f>
        <v>2036</v>
      </c>
      <c r="O42" s="432">
        <f t="shared" si="1"/>
        <v>2037</v>
      </c>
      <c r="P42" s="432">
        <f t="shared" si="1"/>
        <v>2038</v>
      </c>
      <c r="Q42" s="432">
        <f t="shared" si="1"/>
        <v>2039</v>
      </c>
      <c r="R42" s="432">
        <f t="shared" si="1"/>
        <v>2040</v>
      </c>
      <c r="S42" s="432">
        <f>R42+1</f>
        <v>2041</v>
      </c>
      <c r="T42" s="432">
        <f>S42+1</f>
        <v>2042</v>
      </c>
      <c r="U42" s="432">
        <f>T42+1</f>
        <v>2043</v>
      </c>
      <c r="V42" s="432">
        <f t="shared" si="1"/>
        <v>2044</v>
      </c>
      <c r="W42" s="432">
        <f t="shared" si="1"/>
        <v>2045</v>
      </c>
      <c r="X42" s="432">
        <f t="shared" si="1"/>
        <v>2046</v>
      </c>
      <c r="Y42" s="432">
        <f t="shared" si="1"/>
        <v>2047</v>
      </c>
      <c r="Z42" s="432">
        <f t="shared" si="1"/>
        <v>2048</v>
      </c>
      <c r="AA42" s="432">
        <f t="shared" si="1"/>
        <v>2049</v>
      </c>
      <c r="AB42" s="432">
        <f t="shared" si="1"/>
        <v>2050</v>
      </c>
      <c r="AC42" s="432">
        <f t="shared" si="1"/>
        <v>2051</v>
      </c>
      <c r="AD42" s="432">
        <f t="shared" si="1"/>
        <v>2052</v>
      </c>
      <c r="AE42" s="432">
        <f t="shared" si="1"/>
        <v>2053</v>
      </c>
      <c r="AF42" s="432">
        <f t="shared" si="1"/>
        <v>2054</v>
      </c>
      <c r="AG42" s="432">
        <f t="shared" si="1"/>
        <v>2055</v>
      </c>
      <c r="AH42" s="432">
        <f t="shared" si="1"/>
        <v>2056</v>
      </c>
      <c r="AI42" s="432">
        <f t="shared" si="1"/>
        <v>2057</v>
      </c>
      <c r="AJ42" s="432">
        <f t="shared" si="1"/>
        <v>2058</v>
      </c>
      <c r="AK42" s="432">
        <f t="shared" si="1"/>
        <v>2059</v>
      </c>
      <c r="AL42" s="432">
        <f t="shared" si="1"/>
        <v>2060</v>
      </c>
      <c r="AM42" s="432">
        <f t="shared" si="1"/>
        <v>2061</v>
      </c>
      <c r="AN42" s="432">
        <f t="shared" si="1"/>
        <v>2062</v>
      </c>
      <c r="AO42" s="432">
        <f t="shared" si="1"/>
        <v>2063</v>
      </c>
      <c r="AP42" s="432">
        <f t="shared" si="1"/>
        <v>2064</v>
      </c>
      <c r="AQ42" s="432">
        <f t="shared" si="1"/>
        <v>2065</v>
      </c>
      <c r="AR42" s="432">
        <f t="shared" si="1"/>
        <v>2066</v>
      </c>
      <c r="AS42" s="432">
        <f t="shared" si="1"/>
        <v>2067</v>
      </c>
      <c r="AT42" s="432">
        <f t="shared" si="1"/>
        <v>2068</v>
      </c>
      <c r="AU42" s="432">
        <f t="shared" si="1"/>
        <v>2069</v>
      </c>
      <c r="AV42" s="716">
        <f t="shared" si="1"/>
        <v>2070</v>
      </c>
    </row>
    <row r="43" spans="1:48" s="15" customFormat="1" ht="13.5" outlineLevel="1" x14ac:dyDescent="0.25">
      <c r="B43" s="689" t="s">
        <v>1360</v>
      </c>
      <c r="C43" s="815"/>
      <c r="D43" s="686"/>
      <c r="E43" s="686"/>
      <c r="F43" s="686"/>
      <c r="G43" s="686"/>
      <c r="H43" s="686"/>
      <c r="I43" s="686"/>
      <c r="J43" s="686"/>
      <c r="K43" s="686"/>
      <c r="L43" s="686"/>
      <c r="M43" s="686"/>
      <c r="N43" s="686"/>
      <c r="O43" s="686"/>
      <c r="P43" s="686"/>
      <c r="Q43" s="686"/>
      <c r="R43" s="686"/>
      <c r="S43" s="686"/>
      <c r="T43" s="686"/>
      <c r="U43" s="686"/>
      <c r="V43" s="686"/>
      <c r="W43" s="686"/>
      <c r="X43" s="686"/>
      <c r="Y43" s="686"/>
      <c r="Z43" s="686"/>
      <c r="AA43" s="686"/>
      <c r="AB43" s="686"/>
      <c r="AC43" s="686"/>
      <c r="AD43" s="686"/>
      <c r="AE43" s="686"/>
      <c r="AF43" s="686"/>
      <c r="AG43" s="686"/>
      <c r="AH43" s="686"/>
      <c r="AI43" s="686"/>
      <c r="AJ43" s="686"/>
      <c r="AK43" s="686"/>
      <c r="AL43" s="686"/>
      <c r="AM43" s="686"/>
      <c r="AN43" s="686"/>
      <c r="AO43" s="686"/>
      <c r="AP43" s="686"/>
      <c r="AQ43" s="686"/>
      <c r="AR43" s="686"/>
      <c r="AS43" s="686"/>
      <c r="AT43" s="686"/>
      <c r="AU43" s="686"/>
      <c r="AV43" s="687"/>
    </row>
    <row r="44" spans="1:48" s="15" customFormat="1" ht="13.5" outlineLevel="1" x14ac:dyDescent="0.25">
      <c r="B44" s="671" t="s">
        <v>1407</v>
      </c>
      <c r="C44" s="818" t="s">
        <v>1279</v>
      </c>
      <c r="D44" s="675">
        <f t="shared" ref="D44:AV44" si="2">IF(OR(D42&lt;$C$8,D42&gt;$E$8),0,1)</f>
        <v>0</v>
      </c>
      <c r="E44" s="675">
        <f t="shared" si="2"/>
        <v>0</v>
      </c>
      <c r="F44" s="675">
        <f t="shared" si="2"/>
        <v>1</v>
      </c>
      <c r="G44" s="675">
        <f t="shared" si="2"/>
        <v>1</v>
      </c>
      <c r="H44" s="675">
        <f t="shared" si="2"/>
        <v>1</v>
      </c>
      <c r="I44" s="675">
        <f t="shared" si="2"/>
        <v>1</v>
      </c>
      <c r="J44" s="675">
        <f t="shared" si="2"/>
        <v>1</v>
      </c>
      <c r="K44" s="675">
        <f t="shared" si="2"/>
        <v>1</v>
      </c>
      <c r="L44" s="675">
        <f t="shared" si="2"/>
        <v>1</v>
      </c>
      <c r="M44" s="675">
        <f t="shared" si="2"/>
        <v>1</v>
      </c>
      <c r="N44" s="675">
        <f t="shared" si="2"/>
        <v>0</v>
      </c>
      <c r="O44" s="675">
        <f t="shared" si="2"/>
        <v>0</v>
      </c>
      <c r="P44" s="675">
        <f t="shared" si="2"/>
        <v>0</v>
      </c>
      <c r="Q44" s="675">
        <f t="shared" si="2"/>
        <v>0</v>
      </c>
      <c r="R44" s="675">
        <f t="shared" si="2"/>
        <v>0</v>
      </c>
      <c r="S44" s="675">
        <f t="shared" si="2"/>
        <v>0</v>
      </c>
      <c r="T44" s="675">
        <f t="shared" si="2"/>
        <v>0</v>
      </c>
      <c r="U44" s="675">
        <f t="shared" si="2"/>
        <v>0</v>
      </c>
      <c r="V44" s="675">
        <f t="shared" si="2"/>
        <v>0</v>
      </c>
      <c r="W44" s="675">
        <f t="shared" si="2"/>
        <v>0</v>
      </c>
      <c r="X44" s="675">
        <f t="shared" si="2"/>
        <v>0</v>
      </c>
      <c r="Y44" s="675">
        <f t="shared" si="2"/>
        <v>0</v>
      </c>
      <c r="Z44" s="675">
        <f t="shared" si="2"/>
        <v>0</v>
      </c>
      <c r="AA44" s="675">
        <f t="shared" si="2"/>
        <v>0</v>
      </c>
      <c r="AB44" s="675">
        <f t="shared" si="2"/>
        <v>0</v>
      </c>
      <c r="AC44" s="675">
        <f t="shared" si="2"/>
        <v>0</v>
      </c>
      <c r="AD44" s="675">
        <f t="shared" si="2"/>
        <v>0</v>
      </c>
      <c r="AE44" s="675">
        <f t="shared" si="2"/>
        <v>0</v>
      </c>
      <c r="AF44" s="675">
        <f t="shared" si="2"/>
        <v>0</v>
      </c>
      <c r="AG44" s="675">
        <f t="shared" si="2"/>
        <v>0</v>
      </c>
      <c r="AH44" s="675">
        <f t="shared" si="2"/>
        <v>0</v>
      </c>
      <c r="AI44" s="675">
        <f t="shared" si="2"/>
        <v>0</v>
      </c>
      <c r="AJ44" s="675">
        <f t="shared" si="2"/>
        <v>0</v>
      </c>
      <c r="AK44" s="675">
        <f t="shared" si="2"/>
        <v>0</v>
      </c>
      <c r="AL44" s="675">
        <f t="shared" si="2"/>
        <v>0</v>
      </c>
      <c r="AM44" s="675">
        <f t="shared" si="2"/>
        <v>0</v>
      </c>
      <c r="AN44" s="675">
        <f t="shared" si="2"/>
        <v>0</v>
      </c>
      <c r="AO44" s="675">
        <f t="shared" si="2"/>
        <v>0</v>
      </c>
      <c r="AP44" s="675">
        <f t="shared" si="2"/>
        <v>0</v>
      </c>
      <c r="AQ44" s="675">
        <f t="shared" si="2"/>
        <v>0</v>
      </c>
      <c r="AR44" s="675">
        <f t="shared" si="2"/>
        <v>0</v>
      </c>
      <c r="AS44" s="675">
        <f t="shared" si="2"/>
        <v>0</v>
      </c>
      <c r="AT44" s="675">
        <f t="shared" si="2"/>
        <v>0</v>
      </c>
      <c r="AU44" s="675">
        <f t="shared" si="2"/>
        <v>0</v>
      </c>
      <c r="AV44" s="676">
        <f t="shared" si="2"/>
        <v>0</v>
      </c>
    </row>
    <row r="45" spans="1:48" s="15" customFormat="1" ht="13.5" outlineLevel="1" x14ac:dyDescent="0.25">
      <c r="B45" s="671" t="s">
        <v>1409</v>
      </c>
      <c r="C45" s="818" t="s">
        <v>1279</v>
      </c>
      <c r="D45" s="675">
        <f>IF(OR(D42&lt;$C$9,D42&gt;$E$9),0,1)</f>
        <v>0</v>
      </c>
      <c r="E45" s="675">
        <f t="shared" ref="E45:AV45" si="3">IF(OR(E42&lt;$C$9,E42&gt;$E$9),0,1)</f>
        <v>0</v>
      </c>
      <c r="F45" s="675">
        <f t="shared" si="3"/>
        <v>1</v>
      </c>
      <c r="G45" s="675">
        <f t="shared" si="3"/>
        <v>1</v>
      </c>
      <c r="H45" s="675">
        <f t="shared" si="3"/>
        <v>1</v>
      </c>
      <c r="I45" s="675">
        <f t="shared" si="3"/>
        <v>1</v>
      </c>
      <c r="J45" s="675">
        <f t="shared" si="3"/>
        <v>1</v>
      </c>
      <c r="K45" s="675">
        <f t="shared" si="3"/>
        <v>1</v>
      </c>
      <c r="L45" s="675">
        <f t="shared" si="3"/>
        <v>1</v>
      </c>
      <c r="M45" s="675">
        <f t="shared" si="3"/>
        <v>1</v>
      </c>
      <c r="N45" s="675">
        <f t="shared" si="3"/>
        <v>1</v>
      </c>
      <c r="O45" s="675">
        <f t="shared" si="3"/>
        <v>1</v>
      </c>
      <c r="P45" s="675">
        <f t="shared" si="3"/>
        <v>1</v>
      </c>
      <c r="Q45" s="675">
        <f t="shared" si="3"/>
        <v>1</v>
      </c>
      <c r="R45" s="675">
        <f t="shared" si="3"/>
        <v>1</v>
      </c>
      <c r="S45" s="675">
        <f t="shared" si="3"/>
        <v>1</v>
      </c>
      <c r="T45" s="675">
        <f t="shared" si="3"/>
        <v>1</v>
      </c>
      <c r="U45" s="675">
        <f t="shared" si="3"/>
        <v>1</v>
      </c>
      <c r="V45" s="675">
        <f t="shared" si="3"/>
        <v>1</v>
      </c>
      <c r="W45" s="675">
        <f t="shared" si="3"/>
        <v>1</v>
      </c>
      <c r="X45" s="675">
        <f t="shared" si="3"/>
        <v>0</v>
      </c>
      <c r="Y45" s="675">
        <f t="shared" si="3"/>
        <v>0</v>
      </c>
      <c r="Z45" s="675">
        <f t="shared" si="3"/>
        <v>0</v>
      </c>
      <c r="AA45" s="675">
        <f t="shared" si="3"/>
        <v>0</v>
      </c>
      <c r="AB45" s="675">
        <f t="shared" si="3"/>
        <v>0</v>
      </c>
      <c r="AC45" s="675">
        <f t="shared" si="3"/>
        <v>0</v>
      </c>
      <c r="AD45" s="675">
        <f t="shared" si="3"/>
        <v>0</v>
      </c>
      <c r="AE45" s="675">
        <f t="shared" si="3"/>
        <v>0</v>
      </c>
      <c r="AF45" s="675">
        <f t="shared" si="3"/>
        <v>0</v>
      </c>
      <c r="AG45" s="675">
        <f t="shared" si="3"/>
        <v>0</v>
      </c>
      <c r="AH45" s="675">
        <f t="shared" si="3"/>
        <v>0</v>
      </c>
      <c r="AI45" s="675">
        <f t="shared" si="3"/>
        <v>0</v>
      </c>
      <c r="AJ45" s="675">
        <f t="shared" si="3"/>
        <v>0</v>
      </c>
      <c r="AK45" s="675">
        <f t="shared" si="3"/>
        <v>0</v>
      </c>
      <c r="AL45" s="675">
        <f t="shared" si="3"/>
        <v>0</v>
      </c>
      <c r="AM45" s="675">
        <f t="shared" si="3"/>
        <v>0</v>
      </c>
      <c r="AN45" s="675">
        <f t="shared" si="3"/>
        <v>0</v>
      </c>
      <c r="AO45" s="675">
        <f t="shared" si="3"/>
        <v>0</v>
      </c>
      <c r="AP45" s="675">
        <f t="shared" si="3"/>
        <v>0</v>
      </c>
      <c r="AQ45" s="675">
        <f t="shared" si="3"/>
        <v>0</v>
      </c>
      <c r="AR45" s="675">
        <f t="shared" si="3"/>
        <v>0</v>
      </c>
      <c r="AS45" s="675">
        <f t="shared" si="3"/>
        <v>0</v>
      </c>
      <c r="AT45" s="675">
        <f t="shared" si="3"/>
        <v>0</v>
      </c>
      <c r="AU45" s="675">
        <f t="shared" si="3"/>
        <v>0</v>
      </c>
      <c r="AV45" s="676">
        <f t="shared" si="3"/>
        <v>0</v>
      </c>
    </row>
    <row r="46" spans="1:48" s="15" customFormat="1" ht="13.5" outlineLevel="1" x14ac:dyDescent="0.25">
      <c r="B46" s="671" t="s">
        <v>1411</v>
      </c>
      <c r="C46" s="818" t="s">
        <v>1279</v>
      </c>
      <c r="D46" s="675">
        <f>IF(OR(D42&lt;$C$10,D42&gt;$E$10),0,1)</f>
        <v>0</v>
      </c>
      <c r="E46" s="675">
        <f t="shared" ref="E46:AV46" si="4">IF(OR(E42&lt;$C$10,E42&gt;$E$10),0,1)</f>
        <v>0</v>
      </c>
      <c r="F46" s="675">
        <f t="shared" si="4"/>
        <v>0</v>
      </c>
      <c r="G46" s="675">
        <f t="shared" si="4"/>
        <v>0</v>
      </c>
      <c r="H46" s="675">
        <f t="shared" si="4"/>
        <v>1</v>
      </c>
      <c r="I46" s="675">
        <f t="shared" si="4"/>
        <v>1</v>
      </c>
      <c r="J46" s="675">
        <f t="shared" si="4"/>
        <v>1</v>
      </c>
      <c r="K46" s="675">
        <f t="shared" si="4"/>
        <v>1</v>
      </c>
      <c r="L46" s="675">
        <f t="shared" si="4"/>
        <v>1</v>
      </c>
      <c r="M46" s="675">
        <f t="shared" si="4"/>
        <v>0</v>
      </c>
      <c r="N46" s="675">
        <f t="shared" si="4"/>
        <v>0</v>
      </c>
      <c r="O46" s="675">
        <f t="shared" si="4"/>
        <v>0</v>
      </c>
      <c r="P46" s="675">
        <f t="shared" si="4"/>
        <v>0</v>
      </c>
      <c r="Q46" s="675">
        <f t="shared" si="4"/>
        <v>0</v>
      </c>
      <c r="R46" s="675">
        <f t="shared" si="4"/>
        <v>0</v>
      </c>
      <c r="S46" s="675">
        <f t="shared" si="4"/>
        <v>0</v>
      </c>
      <c r="T46" s="675">
        <f t="shared" si="4"/>
        <v>0</v>
      </c>
      <c r="U46" s="675">
        <f t="shared" si="4"/>
        <v>0</v>
      </c>
      <c r="V46" s="675">
        <f t="shared" si="4"/>
        <v>0</v>
      </c>
      <c r="W46" s="675">
        <f t="shared" si="4"/>
        <v>0</v>
      </c>
      <c r="X46" s="675">
        <f t="shared" si="4"/>
        <v>0</v>
      </c>
      <c r="Y46" s="675">
        <f t="shared" si="4"/>
        <v>0</v>
      </c>
      <c r="Z46" s="675">
        <f t="shared" si="4"/>
        <v>0</v>
      </c>
      <c r="AA46" s="675">
        <f t="shared" si="4"/>
        <v>0</v>
      </c>
      <c r="AB46" s="675">
        <f t="shared" si="4"/>
        <v>0</v>
      </c>
      <c r="AC46" s="675">
        <f t="shared" si="4"/>
        <v>0</v>
      </c>
      <c r="AD46" s="675">
        <f t="shared" si="4"/>
        <v>0</v>
      </c>
      <c r="AE46" s="675">
        <f t="shared" si="4"/>
        <v>0</v>
      </c>
      <c r="AF46" s="675">
        <f t="shared" si="4"/>
        <v>0</v>
      </c>
      <c r="AG46" s="675">
        <f t="shared" si="4"/>
        <v>0</v>
      </c>
      <c r="AH46" s="675">
        <f t="shared" si="4"/>
        <v>0</v>
      </c>
      <c r="AI46" s="675">
        <f t="shared" si="4"/>
        <v>0</v>
      </c>
      <c r="AJ46" s="675">
        <f t="shared" si="4"/>
        <v>0</v>
      </c>
      <c r="AK46" s="675">
        <f t="shared" si="4"/>
        <v>0</v>
      </c>
      <c r="AL46" s="675">
        <f t="shared" si="4"/>
        <v>0</v>
      </c>
      <c r="AM46" s="675">
        <f t="shared" si="4"/>
        <v>0</v>
      </c>
      <c r="AN46" s="675">
        <f t="shared" si="4"/>
        <v>0</v>
      </c>
      <c r="AO46" s="675">
        <f t="shared" si="4"/>
        <v>0</v>
      </c>
      <c r="AP46" s="675">
        <f t="shared" si="4"/>
        <v>0</v>
      </c>
      <c r="AQ46" s="675">
        <f t="shared" si="4"/>
        <v>0</v>
      </c>
      <c r="AR46" s="675">
        <f t="shared" si="4"/>
        <v>0</v>
      </c>
      <c r="AS46" s="675">
        <f t="shared" si="4"/>
        <v>0</v>
      </c>
      <c r="AT46" s="675">
        <f t="shared" si="4"/>
        <v>0</v>
      </c>
      <c r="AU46" s="675">
        <f t="shared" si="4"/>
        <v>0</v>
      </c>
      <c r="AV46" s="676">
        <f t="shared" si="4"/>
        <v>0</v>
      </c>
    </row>
    <row r="47" spans="1:48" s="15" customFormat="1" ht="13.5" outlineLevel="1" x14ac:dyDescent="0.25">
      <c r="B47" s="671" t="s">
        <v>1413</v>
      </c>
      <c r="C47" s="818" t="s">
        <v>1279</v>
      </c>
      <c r="D47" s="675">
        <f t="shared" ref="D47:AV47" si="5">IF(OR(D42&lt;$C$11,D42&gt;$E$11),0,1)</f>
        <v>0</v>
      </c>
      <c r="E47" s="675">
        <f t="shared" si="5"/>
        <v>0</v>
      </c>
      <c r="F47" s="675">
        <f t="shared" si="5"/>
        <v>1</v>
      </c>
      <c r="G47" s="675">
        <f t="shared" si="5"/>
        <v>1</v>
      </c>
      <c r="H47" s="675">
        <f t="shared" si="5"/>
        <v>1</v>
      </c>
      <c r="I47" s="675">
        <f t="shared" si="5"/>
        <v>1</v>
      </c>
      <c r="J47" s="675">
        <f t="shared" si="5"/>
        <v>1</v>
      </c>
      <c r="K47" s="675">
        <f t="shared" si="5"/>
        <v>1</v>
      </c>
      <c r="L47" s="675">
        <f t="shared" si="5"/>
        <v>1</v>
      </c>
      <c r="M47" s="675">
        <f t="shared" si="5"/>
        <v>1</v>
      </c>
      <c r="N47" s="675">
        <f t="shared" si="5"/>
        <v>0</v>
      </c>
      <c r="O47" s="675">
        <f t="shared" si="5"/>
        <v>0</v>
      </c>
      <c r="P47" s="675">
        <f t="shared" si="5"/>
        <v>0</v>
      </c>
      <c r="Q47" s="675">
        <f t="shared" si="5"/>
        <v>0</v>
      </c>
      <c r="R47" s="675">
        <f t="shared" si="5"/>
        <v>0</v>
      </c>
      <c r="S47" s="675">
        <f t="shared" si="5"/>
        <v>0</v>
      </c>
      <c r="T47" s="675">
        <f t="shared" si="5"/>
        <v>0</v>
      </c>
      <c r="U47" s="675">
        <f t="shared" si="5"/>
        <v>0</v>
      </c>
      <c r="V47" s="675">
        <f t="shared" si="5"/>
        <v>0</v>
      </c>
      <c r="W47" s="675">
        <f t="shared" si="5"/>
        <v>0</v>
      </c>
      <c r="X47" s="675">
        <f t="shared" si="5"/>
        <v>0</v>
      </c>
      <c r="Y47" s="675">
        <f t="shared" si="5"/>
        <v>0</v>
      </c>
      <c r="Z47" s="675">
        <f t="shared" si="5"/>
        <v>0</v>
      </c>
      <c r="AA47" s="675">
        <f t="shared" si="5"/>
        <v>0</v>
      </c>
      <c r="AB47" s="675">
        <f t="shared" si="5"/>
        <v>0</v>
      </c>
      <c r="AC47" s="675">
        <f t="shared" si="5"/>
        <v>0</v>
      </c>
      <c r="AD47" s="675">
        <f t="shared" si="5"/>
        <v>0</v>
      </c>
      <c r="AE47" s="675">
        <f t="shared" si="5"/>
        <v>0</v>
      </c>
      <c r="AF47" s="675">
        <f t="shared" si="5"/>
        <v>0</v>
      </c>
      <c r="AG47" s="675">
        <f t="shared" si="5"/>
        <v>0</v>
      </c>
      <c r="AH47" s="675">
        <f t="shared" si="5"/>
        <v>0</v>
      </c>
      <c r="AI47" s="675">
        <f t="shared" si="5"/>
        <v>0</v>
      </c>
      <c r="AJ47" s="675">
        <f t="shared" si="5"/>
        <v>0</v>
      </c>
      <c r="AK47" s="675">
        <f t="shared" si="5"/>
        <v>0</v>
      </c>
      <c r="AL47" s="675">
        <f t="shared" si="5"/>
        <v>0</v>
      </c>
      <c r="AM47" s="675">
        <f t="shared" si="5"/>
        <v>0</v>
      </c>
      <c r="AN47" s="675">
        <f t="shared" si="5"/>
        <v>0</v>
      </c>
      <c r="AO47" s="675">
        <f t="shared" si="5"/>
        <v>0</v>
      </c>
      <c r="AP47" s="675">
        <f t="shared" si="5"/>
        <v>0</v>
      </c>
      <c r="AQ47" s="675">
        <f t="shared" si="5"/>
        <v>0</v>
      </c>
      <c r="AR47" s="675">
        <f t="shared" si="5"/>
        <v>0</v>
      </c>
      <c r="AS47" s="675">
        <f t="shared" si="5"/>
        <v>0</v>
      </c>
      <c r="AT47" s="675">
        <f t="shared" si="5"/>
        <v>0</v>
      </c>
      <c r="AU47" s="675">
        <f t="shared" si="5"/>
        <v>0</v>
      </c>
      <c r="AV47" s="676">
        <f t="shared" si="5"/>
        <v>0</v>
      </c>
    </row>
    <row r="48" spans="1:48" s="15" customFormat="1" ht="13.5" outlineLevel="1" x14ac:dyDescent="0.25">
      <c r="B48" s="689" t="s">
        <v>1271</v>
      </c>
      <c r="C48" s="815"/>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686"/>
      <c r="AM48" s="686"/>
      <c r="AN48" s="686"/>
      <c r="AO48" s="686"/>
      <c r="AP48" s="686"/>
      <c r="AQ48" s="686"/>
      <c r="AR48" s="686"/>
      <c r="AS48" s="686"/>
      <c r="AT48" s="686"/>
      <c r="AU48" s="686"/>
      <c r="AV48" s="687"/>
    </row>
    <row r="49" spans="2:48" s="15" customFormat="1" ht="13.5" outlineLevel="1" x14ac:dyDescent="0.25">
      <c r="B49" s="671" t="s">
        <v>1484</v>
      </c>
      <c r="C49" s="679" t="s">
        <v>1243</v>
      </c>
      <c r="D49" s="682">
        <f t="shared" ref="D49:AV49" si="6">-IF(D42&gt;$E$10,$C$15*$C$16*1000,0)</f>
        <v>0</v>
      </c>
      <c r="E49" s="682">
        <f t="shared" si="6"/>
        <v>0</v>
      </c>
      <c r="F49" s="682">
        <f t="shared" si="6"/>
        <v>0</v>
      </c>
      <c r="G49" s="682">
        <f t="shared" si="6"/>
        <v>0</v>
      </c>
      <c r="H49" s="682">
        <f t="shared" si="6"/>
        <v>0</v>
      </c>
      <c r="I49" s="682">
        <f t="shared" si="6"/>
        <v>0</v>
      </c>
      <c r="J49" s="682">
        <f t="shared" si="6"/>
        <v>0</v>
      </c>
      <c r="K49" s="682">
        <f t="shared" si="6"/>
        <v>0</v>
      </c>
      <c r="L49" s="682">
        <f t="shared" si="6"/>
        <v>0</v>
      </c>
      <c r="M49" s="682">
        <f t="shared" si="6"/>
        <v>-2130</v>
      </c>
      <c r="N49" s="682">
        <f t="shared" si="6"/>
        <v>-2130</v>
      </c>
      <c r="O49" s="682">
        <f t="shared" si="6"/>
        <v>-2130</v>
      </c>
      <c r="P49" s="682">
        <f t="shared" si="6"/>
        <v>-2130</v>
      </c>
      <c r="Q49" s="682">
        <f t="shared" si="6"/>
        <v>-2130</v>
      </c>
      <c r="R49" s="682">
        <f t="shared" si="6"/>
        <v>-2130</v>
      </c>
      <c r="S49" s="682">
        <f t="shared" si="6"/>
        <v>-2130</v>
      </c>
      <c r="T49" s="682">
        <f t="shared" si="6"/>
        <v>-2130</v>
      </c>
      <c r="U49" s="682">
        <f t="shared" si="6"/>
        <v>-2130</v>
      </c>
      <c r="V49" s="682">
        <f t="shared" si="6"/>
        <v>-2130</v>
      </c>
      <c r="W49" s="682">
        <f t="shared" si="6"/>
        <v>-2130</v>
      </c>
      <c r="X49" s="682">
        <f t="shared" si="6"/>
        <v>-2130</v>
      </c>
      <c r="Y49" s="682">
        <f t="shared" si="6"/>
        <v>-2130</v>
      </c>
      <c r="Z49" s="682">
        <f t="shared" si="6"/>
        <v>-2130</v>
      </c>
      <c r="AA49" s="682">
        <f t="shared" si="6"/>
        <v>-2130</v>
      </c>
      <c r="AB49" s="682">
        <f t="shared" si="6"/>
        <v>-2130</v>
      </c>
      <c r="AC49" s="682">
        <f t="shared" si="6"/>
        <v>-2130</v>
      </c>
      <c r="AD49" s="682">
        <f t="shared" si="6"/>
        <v>-2130</v>
      </c>
      <c r="AE49" s="682">
        <f t="shared" si="6"/>
        <v>-2130</v>
      </c>
      <c r="AF49" s="682">
        <f t="shared" si="6"/>
        <v>-2130</v>
      </c>
      <c r="AG49" s="682">
        <f t="shared" si="6"/>
        <v>-2130</v>
      </c>
      <c r="AH49" s="682">
        <f t="shared" si="6"/>
        <v>-2130</v>
      </c>
      <c r="AI49" s="682">
        <f t="shared" si="6"/>
        <v>-2130</v>
      </c>
      <c r="AJ49" s="682">
        <f t="shared" si="6"/>
        <v>-2130</v>
      </c>
      <c r="AK49" s="682">
        <f t="shared" si="6"/>
        <v>-2130</v>
      </c>
      <c r="AL49" s="682">
        <f t="shared" si="6"/>
        <v>-2130</v>
      </c>
      <c r="AM49" s="682">
        <f t="shared" si="6"/>
        <v>-2130</v>
      </c>
      <c r="AN49" s="682">
        <f t="shared" si="6"/>
        <v>-2130</v>
      </c>
      <c r="AO49" s="682">
        <f t="shared" si="6"/>
        <v>-2130</v>
      </c>
      <c r="AP49" s="682">
        <f t="shared" si="6"/>
        <v>-2130</v>
      </c>
      <c r="AQ49" s="682">
        <f t="shared" si="6"/>
        <v>-2130</v>
      </c>
      <c r="AR49" s="682">
        <f t="shared" si="6"/>
        <v>-2130</v>
      </c>
      <c r="AS49" s="682">
        <f t="shared" si="6"/>
        <v>-2130</v>
      </c>
      <c r="AT49" s="682">
        <f t="shared" si="6"/>
        <v>-2130</v>
      </c>
      <c r="AU49" s="682">
        <f t="shared" si="6"/>
        <v>-2130</v>
      </c>
      <c r="AV49" s="428">
        <f t="shared" si="6"/>
        <v>-2130</v>
      </c>
    </row>
    <row r="50" spans="2:48" s="15" customFormat="1" ht="13.5" outlineLevel="1" x14ac:dyDescent="0.25">
      <c r="B50" s="671" t="s">
        <v>1485</v>
      </c>
      <c r="C50" s="679" t="s">
        <v>1243</v>
      </c>
      <c r="D50" s="682">
        <v>0</v>
      </c>
      <c r="E50" s="682">
        <f>-(E60*$C$19+E62*$C$20)*(1+$C$21)+E49</f>
        <v>0</v>
      </c>
      <c r="F50" s="682">
        <f t="shared" ref="F50:AV50" si="7">-(F60*$C$19+F62*$C$20)*(1+$C$21)+F49</f>
        <v>0</v>
      </c>
      <c r="G50" s="682">
        <f t="shared" si="7"/>
        <v>0</v>
      </c>
      <c r="H50" s="682">
        <f t="shared" si="7"/>
        <v>0</v>
      </c>
      <c r="I50" s="682">
        <f t="shared" si="7"/>
        <v>0</v>
      </c>
      <c r="J50" s="682">
        <f t="shared" si="7"/>
        <v>0</v>
      </c>
      <c r="K50" s="682">
        <f t="shared" si="7"/>
        <v>0</v>
      </c>
      <c r="L50" s="682">
        <f t="shared" si="7"/>
        <v>0</v>
      </c>
      <c r="M50" s="682">
        <f t="shared" si="7"/>
        <v>-4300.1195285218491</v>
      </c>
      <c r="N50" s="682">
        <f t="shared" si="7"/>
        <v>-6371.6138556572932</v>
      </c>
      <c r="O50" s="682">
        <f t="shared" si="7"/>
        <v>-6276.2299727619729</v>
      </c>
      <c r="P50" s="682">
        <f t="shared" si="7"/>
        <v>-6184.0184689593734</v>
      </c>
      <c r="Q50" s="682">
        <f t="shared" si="7"/>
        <v>-6094.9117271384239</v>
      </c>
      <c r="R50" s="682">
        <f t="shared" si="7"/>
        <v>-6008.8434279138455</v>
      </c>
      <c r="S50" s="682">
        <f t="shared" si="7"/>
        <v>-5925.7485255158399</v>
      </c>
      <c r="T50" s="682">
        <f t="shared" si="7"/>
        <v>-5845.5632241227422</v>
      </c>
      <c r="U50" s="682">
        <f t="shared" si="7"/>
        <v>-5768.2249546285129</v>
      </c>
      <c r="V50" s="682">
        <f t="shared" si="7"/>
        <v>-5693.67235183711</v>
      </c>
      <c r="W50" s="682">
        <f t="shared" si="7"/>
        <v>-5621.8452320759234</v>
      </c>
      <c r="X50" s="682">
        <f t="shared" si="7"/>
        <v>-7264.0268568309148</v>
      </c>
      <c r="Y50" s="682">
        <f t="shared" si="7"/>
        <v>-7164.1987246856806</v>
      </c>
      <c r="Z50" s="682">
        <f t="shared" si="7"/>
        <v>-7068.1982976602958</v>
      </c>
      <c r="AA50" s="682">
        <f t="shared" si="7"/>
        <v>-6975.9420657616229</v>
      </c>
      <c r="AB50" s="682">
        <f t="shared" si="7"/>
        <v>-6887.3481324159475</v>
      </c>
      <c r="AC50" s="682">
        <f t="shared" si="7"/>
        <v>-6845.4683044905241</v>
      </c>
      <c r="AD50" s="682">
        <f t="shared" si="7"/>
        <v>-6803.594809949951</v>
      </c>
      <c r="AE50" s="682">
        <f t="shared" si="7"/>
        <v>-6761.7269587940855</v>
      </c>
      <c r="AF50" s="682">
        <f t="shared" si="7"/>
        <v>-6719.8640673933023</v>
      </c>
      <c r="AG50" s="682">
        <f t="shared" si="7"/>
        <v>-6678.0054584442505</v>
      </c>
      <c r="AH50" s="682">
        <f t="shared" si="7"/>
        <v>-6636.1504609258736</v>
      </c>
      <c r="AI50" s="682">
        <f t="shared" si="7"/>
        <v>-6594.2984100557242</v>
      </c>
      <c r="AJ50" s="682">
        <f t="shared" si="7"/>
        <v>-6552.4486472465333</v>
      </c>
      <c r="AK50" s="682">
        <f t="shared" si="7"/>
        <v>-6510.6005200630561</v>
      </c>
      <c r="AL50" s="682">
        <f t="shared" si="7"/>
        <v>-6468.7533821791912</v>
      </c>
      <c r="AM50" s="682">
        <f t="shared" si="7"/>
        <v>-6426.9065933353631</v>
      </c>
      <c r="AN50" s="682">
        <f t="shared" si="7"/>
        <v>-6385.0595192961737</v>
      </c>
      <c r="AO50" s="682">
        <f t="shared" si="7"/>
        <v>-6343.2115318083142</v>
      </c>
      <c r="AP50" s="682">
        <f t="shared" si="7"/>
        <v>-6301.362008558749</v>
      </c>
      <c r="AQ50" s="682">
        <f t="shared" si="7"/>
        <v>-6259.5103331331438</v>
      </c>
      <c r="AR50" s="682">
        <f t="shared" si="7"/>
        <v>-6217.6558949745813</v>
      </c>
      <c r="AS50" s="682">
        <f t="shared" si="7"/>
        <v>-6175.798089342501</v>
      </c>
      <c r="AT50" s="682">
        <f t="shared" si="7"/>
        <v>-6133.9363172719295</v>
      </c>
      <c r="AU50" s="682">
        <f t="shared" si="7"/>
        <v>-6092.0699855329385</v>
      </c>
      <c r="AV50" s="428">
        <f t="shared" si="7"/>
        <v>-6050.1985065903737</v>
      </c>
    </row>
    <row r="51" spans="2:48" s="39" customFormat="1" ht="13.5" outlineLevel="1" x14ac:dyDescent="0.25">
      <c r="B51" s="689" t="s">
        <v>1114</v>
      </c>
      <c r="C51" s="693" t="s">
        <v>1243</v>
      </c>
      <c r="D51" s="710">
        <f>D49+D50</f>
        <v>0</v>
      </c>
      <c r="E51" s="710">
        <f t="shared" ref="E51:AV51" si="8">E49+E50</f>
        <v>0</v>
      </c>
      <c r="F51" s="710">
        <f t="shared" si="8"/>
        <v>0</v>
      </c>
      <c r="G51" s="710">
        <f t="shared" si="8"/>
        <v>0</v>
      </c>
      <c r="H51" s="710">
        <f t="shared" si="8"/>
        <v>0</v>
      </c>
      <c r="I51" s="710">
        <f t="shared" si="8"/>
        <v>0</v>
      </c>
      <c r="J51" s="710">
        <f t="shared" si="8"/>
        <v>0</v>
      </c>
      <c r="K51" s="710">
        <f t="shared" si="8"/>
        <v>0</v>
      </c>
      <c r="L51" s="710">
        <f t="shared" si="8"/>
        <v>0</v>
      </c>
      <c r="M51" s="710">
        <f t="shared" si="8"/>
        <v>-6430.1195285218491</v>
      </c>
      <c r="N51" s="710">
        <f t="shared" si="8"/>
        <v>-8501.6138556572932</v>
      </c>
      <c r="O51" s="710">
        <f t="shared" si="8"/>
        <v>-8406.229972761972</v>
      </c>
      <c r="P51" s="710">
        <f t="shared" si="8"/>
        <v>-8314.0184689593734</v>
      </c>
      <c r="Q51" s="710">
        <f t="shared" si="8"/>
        <v>-8224.9117271384239</v>
      </c>
      <c r="R51" s="710">
        <f t="shared" si="8"/>
        <v>-8138.8434279138455</v>
      </c>
      <c r="S51" s="710">
        <f t="shared" si="8"/>
        <v>-8055.7485255158399</v>
      </c>
      <c r="T51" s="710">
        <f t="shared" si="8"/>
        <v>-7975.5632241227422</v>
      </c>
      <c r="U51" s="710">
        <f t="shared" si="8"/>
        <v>-7898.2249546285129</v>
      </c>
      <c r="V51" s="710">
        <f t="shared" si="8"/>
        <v>-7823.67235183711</v>
      </c>
      <c r="W51" s="710">
        <f t="shared" si="8"/>
        <v>-7751.8452320759234</v>
      </c>
      <c r="X51" s="710">
        <f t="shared" si="8"/>
        <v>-9394.0268568309148</v>
      </c>
      <c r="Y51" s="710">
        <f t="shared" si="8"/>
        <v>-9294.1987246856806</v>
      </c>
      <c r="Z51" s="710">
        <f t="shared" si="8"/>
        <v>-9198.1982976602958</v>
      </c>
      <c r="AA51" s="710">
        <f t="shared" si="8"/>
        <v>-9105.9420657616229</v>
      </c>
      <c r="AB51" s="710">
        <f t="shared" si="8"/>
        <v>-9017.3481324159475</v>
      </c>
      <c r="AC51" s="710">
        <f t="shared" si="8"/>
        <v>-8975.468304490525</v>
      </c>
      <c r="AD51" s="710">
        <f t="shared" si="8"/>
        <v>-8933.594809949951</v>
      </c>
      <c r="AE51" s="710">
        <f t="shared" si="8"/>
        <v>-8891.7269587940864</v>
      </c>
      <c r="AF51" s="710">
        <f t="shared" si="8"/>
        <v>-8849.8640673933023</v>
      </c>
      <c r="AG51" s="710">
        <f t="shared" si="8"/>
        <v>-8808.0054584442514</v>
      </c>
      <c r="AH51" s="710">
        <f t="shared" si="8"/>
        <v>-8766.1504609258736</v>
      </c>
      <c r="AI51" s="710">
        <f t="shared" si="8"/>
        <v>-8724.2984100557242</v>
      </c>
      <c r="AJ51" s="710">
        <f t="shared" si="8"/>
        <v>-8682.4486472465323</v>
      </c>
      <c r="AK51" s="710">
        <f t="shared" si="8"/>
        <v>-8640.600520063057</v>
      </c>
      <c r="AL51" s="710">
        <f t="shared" si="8"/>
        <v>-8598.7533821791912</v>
      </c>
      <c r="AM51" s="710">
        <f t="shared" si="8"/>
        <v>-8556.9065933353631</v>
      </c>
      <c r="AN51" s="710">
        <f t="shared" si="8"/>
        <v>-8515.0595192961737</v>
      </c>
      <c r="AO51" s="710">
        <f t="shared" si="8"/>
        <v>-8473.2115318083142</v>
      </c>
      <c r="AP51" s="710">
        <f t="shared" si="8"/>
        <v>-8431.3620085587499</v>
      </c>
      <c r="AQ51" s="710">
        <f t="shared" si="8"/>
        <v>-8389.5103331331447</v>
      </c>
      <c r="AR51" s="710">
        <f t="shared" si="8"/>
        <v>-8347.6558949745813</v>
      </c>
      <c r="AS51" s="710">
        <f t="shared" si="8"/>
        <v>-8305.798089342501</v>
      </c>
      <c r="AT51" s="710">
        <f t="shared" si="8"/>
        <v>-8263.9363172719295</v>
      </c>
      <c r="AU51" s="710">
        <f t="shared" si="8"/>
        <v>-8222.0699855329385</v>
      </c>
      <c r="AV51" s="426">
        <f t="shared" si="8"/>
        <v>-8180.1985065903737</v>
      </c>
    </row>
    <row r="52" spans="2:48" s="15" customFormat="1" ht="13.5" outlineLevel="1" x14ac:dyDescent="0.25">
      <c r="B52" s="671" t="s">
        <v>1417</v>
      </c>
      <c r="C52" s="679" t="s">
        <v>639</v>
      </c>
      <c r="D52" s="834">
        <f t="shared" ref="D52:AV52" si="9">IF(D42&gt;$E$8,$F$8,0)+IF(D42&gt;$E$9,$F$9,0)+IF(D42&gt;$E$10,$F$10,0)+IF(D42&gt;$E$11,$F$11,0)</f>
        <v>0</v>
      </c>
      <c r="E52" s="834">
        <f t="shared" si="9"/>
        <v>0</v>
      </c>
      <c r="F52" s="834">
        <f t="shared" si="9"/>
        <v>0</v>
      </c>
      <c r="G52" s="834">
        <f t="shared" si="9"/>
        <v>0</v>
      </c>
      <c r="H52" s="834">
        <f t="shared" si="9"/>
        <v>0</v>
      </c>
      <c r="I52" s="834">
        <f t="shared" si="9"/>
        <v>0</v>
      </c>
      <c r="J52" s="834">
        <f t="shared" si="9"/>
        <v>0</v>
      </c>
      <c r="K52" s="834">
        <f t="shared" si="9"/>
        <v>0</v>
      </c>
      <c r="L52" s="834">
        <f t="shared" si="9"/>
        <v>0</v>
      </c>
      <c r="M52" s="834">
        <f t="shared" si="9"/>
        <v>0.01</v>
      </c>
      <c r="N52" s="834">
        <f t="shared" si="9"/>
        <v>0.02</v>
      </c>
      <c r="O52" s="834">
        <f t="shared" si="9"/>
        <v>0.02</v>
      </c>
      <c r="P52" s="834">
        <f t="shared" si="9"/>
        <v>0.02</v>
      </c>
      <c r="Q52" s="834">
        <f t="shared" si="9"/>
        <v>0.02</v>
      </c>
      <c r="R52" s="834">
        <f t="shared" si="9"/>
        <v>0.02</v>
      </c>
      <c r="S52" s="834">
        <f t="shared" si="9"/>
        <v>0.02</v>
      </c>
      <c r="T52" s="834">
        <f t="shared" si="9"/>
        <v>0.02</v>
      </c>
      <c r="U52" s="834">
        <f t="shared" si="9"/>
        <v>0.02</v>
      </c>
      <c r="V52" s="834">
        <f t="shared" si="9"/>
        <v>0.02</v>
      </c>
      <c r="W52" s="834">
        <f t="shared" si="9"/>
        <v>0.02</v>
      </c>
      <c r="X52" s="834">
        <f t="shared" si="9"/>
        <v>0.03</v>
      </c>
      <c r="Y52" s="834">
        <f t="shared" si="9"/>
        <v>0.03</v>
      </c>
      <c r="Z52" s="834">
        <f t="shared" si="9"/>
        <v>0.03</v>
      </c>
      <c r="AA52" s="834">
        <f t="shared" si="9"/>
        <v>0.03</v>
      </c>
      <c r="AB52" s="834">
        <f t="shared" si="9"/>
        <v>0.03</v>
      </c>
      <c r="AC52" s="834">
        <f t="shared" si="9"/>
        <v>0.03</v>
      </c>
      <c r="AD52" s="834">
        <f t="shared" si="9"/>
        <v>0.03</v>
      </c>
      <c r="AE52" s="834">
        <f t="shared" si="9"/>
        <v>0.03</v>
      </c>
      <c r="AF52" s="834">
        <f t="shared" si="9"/>
        <v>0.03</v>
      </c>
      <c r="AG52" s="834">
        <f t="shared" si="9"/>
        <v>0.03</v>
      </c>
      <c r="AH52" s="834">
        <f t="shared" si="9"/>
        <v>0.03</v>
      </c>
      <c r="AI52" s="834">
        <f t="shared" si="9"/>
        <v>0.03</v>
      </c>
      <c r="AJ52" s="834">
        <f t="shared" si="9"/>
        <v>0.03</v>
      </c>
      <c r="AK52" s="834">
        <f t="shared" si="9"/>
        <v>0.03</v>
      </c>
      <c r="AL52" s="834">
        <f t="shared" si="9"/>
        <v>0.03</v>
      </c>
      <c r="AM52" s="834">
        <f t="shared" si="9"/>
        <v>0.03</v>
      </c>
      <c r="AN52" s="834">
        <f t="shared" si="9"/>
        <v>0.03</v>
      </c>
      <c r="AO52" s="834">
        <f t="shared" si="9"/>
        <v>0.03</v>
      </c>
      <c r="AP52" s="834">
        <f t="shared" si="9"/>
        <v>0.03</v>
      </c>
      <c r="AQ52" s="834">
        <f t="shared" si="9"/>
        <v>0.03</v>
      </c>
      <c r="AR52" s="834">
        <f t="shared" si="9"/>
        <v>0.03</v>
      </c>
      <c r="AS52" s="834">
        <f t="shared" si="9"/>
        <v>0.03</v>
      </c>
      <c r="AT52" s="834">
        <f t="shared" si="9"/>
        <v>0.03</v>
      </c>
      <c r="AU52" s="834">
        <f t="shared" si="9"/>
        <v>0.03</v>
      </c>
      <c r="AV52" s="835">
        <f t="shared" si="9"/>
        <v>0.03</v>
      </c>
    </row>
    <row r="53" spans="2:48" s="15" customFormat="1" ht="13.5" outlineLevel="1" x14ac:dyDescent="0.25">
      <c r="B53" s="671" t="s">
        <v>1418</v>
      </c>
      <c r="C53" s="679" t="s">
        <v>1398</v>
      </c>
      <c r="D53" s="677">
        <f>SISENDID!$G$285*D52</f>
        <v>0</v>
      </c>
      <c r="E53" s="677">
        <f>SISENDID!$G$285*E52</f>
        <v>0</v>
      </c>
      <c r="F53" s="677">
        <f>SISENDID!$G$285*F52</f>
        <v>0</v>
      </c>
      <c r="G53" s="677">
        <f>SISENDID!$G$285*G52</f>
        <v>0</v>
      </c>
      <c r="H53" s="677">
        <f>SISENDID!$G$285*H52</f>
        <v>0</v>
      </c>
      <c r="I53" s="677">
        <f>SISENDID!$G$285*I52</f>
        <v>0</v>
      </c>
      <c r="J53" s="677">
        <f>SISENDID!$G$285*J52</f>
        <v>0</v>
      </c>
      <c r="K53" s="677">
        <f>SISENDID!$G$285*K52</f>
        <v>0</v>
      </c>
      <c r="L53" s="677">
        <f>SISENDID!$G$285*L52</f>
        <v>0</v>
      </c>
      <c r="M53" s="677">
        <f>SISENDID!$G$285*M52</f>
        <v>3.670588235294117</v>
      </c>
      <c r="N53" s="677">
        <f>SISENDID!$G$285*N52</f>
        <v>7.3411764705882341</v>
      </c>
      <c r="O53" s="677">
        <f>SISENDID!$G$285*O52</f>
        <v>7.3411764705882341</v>
      </c>
      <c r="P53" s="677">
        <f>SISENDID!$G$285*P52</f>
        <v>7.3411764705882341</v>
      </c>
      <c r="Q53" s="677">
        <f>SISENDID!$G$285*Q52</f>
        <v>7.3411764705882341</v>
      </c>
      <c r="R53" s="677">
        <f>SISENDID!$G$285*R52</f>
        <v>7.3411764705882341</v>
      </c>
      <c r="S53" s="677">
        <f>SISENDID!$G$285*S52</f>
        <v>7.3411764705882341</v>
      </c>
      <c r="T53" s="677">
        <f>SISENDID!$G$285*T52</f>
        <v>7.3411764705882341</v>
      </c>
      <c r="U53" s="677">
        <f>SISENDID!$G$285*U52</f>
        <v>7.3411764705882341</v>
      </c>
      <c r="V53" s="677">
        <f>SISENDID!$G$285*V52</f>
        <v>7.3411764705882341</v>
      </c>
      <c r="W53" s="677">
        <f>SISENDID!$G$285*W52</f>
        <v>7.3411764705882341</v>
      </c>
      <c r="X53" s="677">
        <f>SISENDID!$G$285*X52</f>
        <v>11.011764705882351</v>
      </c>
      <c r="Y53" s="677">
        <f>SISENDID!$G$285*Y52</f>
        <v>11.011764705882351</v>
      </c>
      <c r="Z53" s="677">
        <f>SISENDID!$G$285*Z52</f>
        <v>11.011764705882351</v>
      </c>
      <c r="AA53" s="677">
        <f>SISENDID!$G$285*AA52</f>
        <v>11.011764705882351</v>
      </c>
      <c r="AB53" s="677">
        <f>SISENDID!$G$285*AB52</f>
        <v>11.011764705882351</v>
      </c>
      <c r="AC53" s="677">
        <f>SISENDID!$G$285*AC52</f>
        <v>11.011764705882351</v>
      </c>
      <c r="AD53" s="677">
        <f>SISENDID!$G$285*AD52</f>
        <v>11.011764705882351</v>
      </c>
      <c r="AE53" s="677">
        <f>SISENDID!$G$285*AE52</f>
        <v>11.011764705882351</v>
      </c>
      <c r="AF53" s="677">
        <f>SISENDID!$G$285*AF52</f>
        <v>11.011764705882351</v>
      </c>
      <c r="AG53" s="677">
        <f>SISENDID!$G$285*AG52</f>
        <v>11.011764705882351</v>
      </c>
      <c r="AH53" s="677">
        <f>SISENDID!$G$285*AH52</f>
        <v>11.011764705882351</v>
      </c>
      <c r="AI53" s="677">
        <f>SISENDID!$G$285*AI52</f>
        <v>11.011764705882351</v>
      </c>
      <c r="AJ53" s="677">
        <f>SISENDID!$G$285*AJ52</f>
        <v>11.011764705882351</v>
      </c>
      <c r="AK53" s="677">
        <f>SISENDID!$G$285*AK52</f>
        <v>11.011764705882351</v>
      </c>
      <c r="AL53" s="677">
        <f>SISENDID!$G$285*AL52</f>
        <v>11.011764705882351</v>
      </c>
      <c r="AM53" s="677">
        <f>SISENDID!$G$285*AM52</f>
        <v>11.011764705882351</v>
      </c>
      <c r="AN53" s="677">
        <f>SISENDID!$G$285*AN52</f>
        <v>11.011764705882351</v>
      </c>
      <c r="AO53" s="677">
        <f>SISENDID!$G$285*AO52</f>
        <v>11.011764705882351</v>
      </c>
      <c r="AP53" s="677">
        <f>SISENDID!$G$285*AP52</f>
        <v>11.011764705882351</v>
      </c>
      <c r="AQ53" s="677">
        <f>SISENDID!$G$285*AQ52</f>
        <v>11.011764705882351</v>
      </c>
      <c r="AR53" s="677">
        <f>SISENDID!$G$285*AR52</f>
        <v>11.011764705882351</v>
      </c>
      <c r="AS53" s="677">
        <f>SISENDID!$G$285*AS52</f>
        <v>11.011764705882351</v>
      </c>
      <c r="AT53" s="677">
        <f>SISENDID!$G$285*AT52</f>
        <v>11.011764705882351</v>
      </c>
      <c r="AU53" s="677">
        <f>SISENDID!$G$285*AU52</f>
        <v>11.011764705882351</v>
      </c>
      <c r="AV53" s="819">
        <f>SISENDID!$G$285*AV52</f>
        <v>11.011764705882351</v>
      </c>
    </row>
    <row r="54" spans="2:48" s="15" customFormat="1" ht="13.5" outlineLevel="1" x14ac:dyDescent="0.25">
      <c r="B54" s="671" t="s">
        <v>1419</v>
      </c>
      <c r="C54" s="679" t="s">
        <v>639</v>
      </c>
      <c r="D54" s="834">
        <f t="shared" ref="D54:AV54" si="10">IF(D42&gt;$E$8,$G$8,0)+IF(D42&gt;$E$9,$G$9,0)+IF(D42&gt;$E$10,$G$10,0)+IF(D42&gt;$E$11,$G$11,0)</f>
        <v>0</v>
      </c>
      <c r="E54" s="834">
        <f t="shared" si="10"/>
        <v>0</v>
      </c>
      <c r="F54" s="834">
        <f t="shared" si="10"/>
        <v>0</v>
      </c>
      <c r="G54" s="834">
        <f t="shared" si="10"/>
        <v>0</v>
      </c>
      <c r="H54" s="834">
        <f t="shared" si="10"/>
        <v>0</v>
      </c>
      <c r="I54" s="834">
        <f t="shared" si="10"/>
        <v>0</v>
      </c>
      <c r="J54" s="834">
        <f t="shared" si="10"/>
        <v>0</v>
      </c>
      <c r="K54" s="834">
        <f t="shared" si="10"/>
        <v>0</v>
      </c>
      <c r="L54" s="834">
        <f t="shared" si="10"/>
        <v>0</v>
      </c>
      <c r="M54" s="834">
        <f t="shared" si="10"/>
        <v>0</v>
      </c>
      <c r="N54" s="834">
        <f t="shared" si="10"/>
        <v>0</v>
      </c>
      <c r="O54" s="834">
        <f t="shared" si="10"/>
        <v>0</v>
      </c>
      <c r="P54" s="834">
        <f t="shared" si="10"/>
        <v>0</v>
      </c>
      <c r="Q54" s="834">
        <f t="shared" si="10"/>
        <v>0</v>
      </c>
      <c r="R54" s="834">
        <f t="shared" si="10"/>
        <v>0</v>
      </c>
      <c r="S54" s="834">
        <f t="shared" si="10"/>
        <v>0</v>
      </c>
      <c r="T54" s="834">
        <f t="shared" si="10"/>
        <v>0</v>
      </c>
      <c r="U54" s="834">
        <f t="shared" si="10"/>
        <v>0</v>
      </c>
      <c r="V54" s="834">
        <f t="shared" si="10"/>
        <v>0</v>
      </c>
      <c r="W54" s="834">
        <f t="shared" si="10"/>
        <v>0</v>
      </c>
      <c r="X54" s="834">
        <f t="shared" si="10"/>
        <v>0</v>
      </c>
      <c r="Y54" s="834">
        <f t="shared" si="10"/>
        <v>0</v>
      </c>
      <c r="Z54" s="834">
        <f t="shared" si="10"/>
        <v>0</v>
      </c>
      <c r="AA54" s="834">
        <f t="shared" si="10"/>
        <v>0</v>
      </c>
      <c r="AB54" s="834">
        <f t="shared" si="10"/>
        <v>0</v>
      </c>
      <c r="AC54" s="834">
        <f t="shared" si="10"/>
        <v>0</v>
      </c>
      <c r="AD54" s="834">
        <f t="shared" si="10"/>
        <v>0</v>
      </c>
      <c r="AE54" s="834">
        <f t="shared" si="10"/>
        <v>0</v>
      </c>
      <c r="AF54" s="834">
        <f t="shared" si="10"/>
        <v>0</v>
      </c>
      <c r="AG54" s="834">
        <f t="shared" si="10"/>
        <v>0</v>
      </c>
      <c r="AH54" s="834">
        <f t="shared" si="10"/>
        <v>0</v>
      </c>
      <c r="AI54" s="834">
        <f t="shared" si="10"/>
        <v>0</v>
      </c>
      <c r="AJ54" s="834">
        <f t="shared" si="10"/>
        <v>0</v>
      </c>
      <c r="AK54" s="834">
        <f t="shared" si="10"/>
        <v>0</v>
      </c>
      <c r="AL54" s="834">
        <f t="shared" si="10"/>
        <v>0</v>
      </c>
      <c r="AM54" s="834">
        <f t="shared" si="10"/>
        <v>0</v>
      </c>
      <c r="AN54" s="834">
        <f t="shared" si="10"/>
        <v>0</v>
      </c>
      <c r="AO54" s="834">
        <f t="shared" si="10"/>
        <v>0</v>
      </c>
      <c r="AP54" s="834">
        <f t="shared" si="10"/>
        <v>0</v>
      </c>
      <c r="AQ54" s="834">
        <f t="shared" si="10"/>
        <v>0</v>
      </c>
      <c r="AR54" s="834">
        <f t="shared" si="10"/>
        <v>0</v>
      </c>
      <c r="AS54" s="834">
        <f t="shared" si="10"/>
        <v>0</v>
      </c>
      <c r="AT54" s="834">
        <f t="shared" si="10"/>
        <v>0</v>
      </c>
      <c r="AU54" s="834">
        <f t="shared" si="10"/>
        <v>0</v>
      </c>
      <c r="AV54" s="835">
        <f t="shared" si="10"/>
        <v>0</v>
      </c>
    </row>
    <row r="55" spans="2:48" s="15" customFormat="1" ht="13.5" outlineLevel="1" x14ac:dyDescent="0.25">
      <c r="B55" s="671" t="s">
        <v>1420</v>
      </c>
      <c r="C55" s="679" t="s">
        <v>1421</v>
      </c>
      <c r="D55" s="677">
        <f>SISENDID!$G$285*D54</f>
        <v>0</v>
      </c>
      <c r="E55" s="677">
        <f>SISENDID!$G$285*E54</f>
        <v>0</v>
      </c>
      <c r="F55" s="677">
        <f>SISENDID!$G$285*F54</f>
        <v>0</v>
      </c>
      <c r="G55" s="677">
        <f>SISENDID!$G$285*G54</f>
        <v>0</v>
      </c>
      <c r="H55" s="677">
        <f>SISENDID!$G$285*H54</f>
        <v>0</v>
      </c>
      <c r="I55" s="677">
        <f>SISENDID!$G$285*I54</f>
        <v>0</v>
      </c>
      <c r="J55" s="677">
        <f>SISENDID!$G$285*J54</f>
        <v>0</v>
      </c>
      <c r="K55" s="677">
        <f>SISENDID!$G$285*K54</f>
        <v>0</v>
      </c>
      <c r="L55" s="677">
        <f>SISENDID!$G$285*L54</f>
        <v>0</v>
      </c>
      <c r="M55" s="677">
        <f>SISENDID!$G$285*M54</f>
        <v>0</v>
      </c>
      <c r="N55" s="677">
        <f>SISENDID!$G$285*N54</f>
        <v>0</v>
      </c>
      <c r="O55" s="677">
        <f>SISENDID!$G$285*O54</f>
        <v>0</v>
      </c>
      <c r="P55" s="677">
        <f>SISENDID!$G$285*P54</f>
        <v>0</v>
      </c>
      <c r="Q55" s="677">
        <f>SISENDID!$G$285*Q54</f>
        <v>0</v>
      </c>
      <c r="R55" s="677">
        <f>SISENDID!$G$285*R54</f>
        <v>0</v>
      </c>
      <c r="S55" s="677">
        <f>SISENDID!$G$285*S54</f>
        <v>0</v>
      </c>
      <c r="T55" s="677">
        <f>SISENDID!$G$285*T54</f>
        <v>0</v>
      </c>
      <c r="U55" s="677">
        <f>SISENDID!$G$285*U54</f>
        <v>0</v>
      </c>
      <c r="V55" s="677">
        <f>SISENDID!$G$285*V54</f>
        <v>0</v>
      </c>
      <c r="W55" s="677">
        <f>SISENDID!$G$285*W54</f>
        <v>0</v>
      </c>
      <c r="X55" s="677">
        <f>SISENDID!$G$285*X54</f>
        <v>0</v>
      </c>
      <c r="Y55" s="677">
        <f>SISENDID!$G$285*Y54</f>
        <v>0</v>
      </c>
      <c r="Z55" s="677">
        <f>SISENDID!$G$285*Z54</f>
        <v>0</v>
      </c>
      <c r="AA55" s="677">
        <f>SISENDID!$G$285*AA54</f>
        <v>0</v>
      </c>
      <c r="AB55" s="677">
        <f>SISENDID!$G$285*AB54</f>
        <v>0</v>
      </c>
      <c r="AC55" s="677">
        <f>SISENDID!$G$285*AC54</f>
        <v>0</v>
      </c>
      <c r="AD55" s="677">
        <f>SISENDID!$G$285*AD54</f>
        <v>0</v>
      </c>
      <c r="AE55" s="677">
        <f>SISENDID!$G$285*AE54</f>
        <v>0</v>
      </c>
      <c r="AF55" s="677">
        <f>SISENDID!$G$285*AF54</f>
        <v>0</v>
      </c>
      <c r="AG55" s="677">
        <f>SISENDID!$G$285*AG54</f>
        <v>0</v>
      </c>
      <c r="AH55" s="677">
        <f>SISENDID!$G$285*AH54</f>
        <v>0</v>
      </c>
      <c r="AI55" s="677">
        <f>SISENDID!$G$285*AI54</f>
        <v>0</v>
      </c>
      <c r="AJ55" s="677">
        <f>SISENDID!$G$285*AJ54</f>
        <v>0</v>
      </c>
      <c r="AK55" s="677">
        <f>SISENDID!$G$285*AK54</f>
        <v>0</v>
      </c>
      <c r="AL55" s="677">
        <f>SISENDID!$G$285*AL54</f>
        <v>0</v>
      </c>
      <c r="AM55" s="677">
        <f>SISENDID!$G$285*AM54</f>
        <v>0</v>
      </c>
      <c r="AN55" s="677">
        <f>SISENDID!$G$285*AN54</f>
        <v>0</v>
      </c>
      <c r="AO55" s="677">
        <f>SISENDID!$G$285*AO54</f>
        <v>0</v>
      </c>
      <c r="AP55" s="677">
        <f>SISENDID!$G$285*AP54</f>
        <v>0</v>
      </c>
      <c r="AQ55" s="677">
        <f>SISENDID!$G$285*AQ54</f>
        <v>0</v>
      </c>
      <c r="AR55" s="677">
        <f>SISENDID!$G$285*AR54</f>
        <v>0</v>
      </c>
      <c r="AS55" s="677">
        <f>SISENDID!$G$285*AS54</f>
        <v>0</v>
      </c>
      <c r="AT55" s="677">
        <f>SISENDID!$G$285*AT54</f>
        <v>0</v>
      </c>
      <c r="AU55" s="677">
        <f>SISENDID!$G$285*AU54</f>
        <v>0</v>
      </c>
      <c r="AV55" s="819">
        <f>SISENDID!$G$285*AV54</f>
        <v>0</v>
      </c>
    </row>
    <row r="56" spans="2:48" s="15" customFormat="1" ht="13.5" outlineLevel="1" x14ac:dyDescent="0.25">
      <c r="B56" s="671" t="s">
        <v>1422</v>
      </c>
      <c r="C56" s="679" t="s">
        <v>639</v>
      </c>
      <c r="D56" s="834">
        <f t="shared" ref="D56:AV56" si="11">IF(D42&gt;$E$8,$H$8,0)+IF(D42&gt;$E$9,$H$9,0)+IF(D42&gt;$E$10,$H$10,0)+IF(D42&gt;$E$11,$H$11,0)</f>
        <v>0</v>
      </c>
      <c r="E56" s="834">
        <f t="shared" si="11"/>
        <v>0</v>
      </c>
      <c r="F56" s="834">
        <f t="shared" si="11"/>
        <v>0</v>
      </c>
      <c r="G56" s="834">
        <f t="shared" si="11"/>
        <v>0</v>
      </c>
      <c r="H56" s="834">
        <f t="shared" si="11"/>
        <v>0</v>
      </c>
      <c r="I56" s="834">
        <f t="shared" si="11"/>
        <v>0</v>
      </c>
      <c r="J56" s="834">
        <f t="shared" si="11"/>
        <v>0</v>
      </c>
      <c r="K56" s="834">
        <f t="shared" si="11"/>
        <v>0</v>
      </c>
      <c r="L56" s="834">
        <f t="shared" si="11"/>
        <v>0</v>
      </c>
      <c r="M56" s="834">
        <f t="shared" si="11"/>
        <v>0.02</v>
      </c>
      <c r="N56" s="834">
        <f t="shared" si="11"/>
        <v>0.04</v>
      </c>
      <c r="O56" s="834">
        <f t="shared" si="11"/>
        <v>0.04</v>
      </c>
      <c r="P56" s="834">
        <f t="shared" si="11"/>
        <v>0.04</v>
      </c>
      <c r="Q56" s="834">
        <f t="shared" si="11"/>
        <v>0.04</v>
      </c>
      <c r="R56" s="834">
        <f t="shared" si="11"/>
        <v>0.04</v>
      </c>
      <c r="S56" s="834">
        <f t="shared" si="11"/>
        <v>0.04</v>
      </c>
      <c r="T56" s="834">
        <f t="shared" si="11"/>
        <v>0.04</v>
      </c>
      <c r="U56" s="834">
        <f t="shared" si="11"/>
        <v>0.04</v>
      </c>
      <c r="V56" s="834">
        <f t="shared" si="11"/>
        <v>0.04</v>
      </c>
      <c r="W56" s="834">
        <f t="shared" si="11"/>
        <v>0.04</v>
      </c>
      <c r="X56" s="834">
        <f t="shared" si="11"/>
        <v>0.06</v>
      </c>
      <c r="Y56" s="834">
        <f t="shared" si="11"/>
        <v>0.06</v>
      </c>
      <c r="Z56" s="834">
        <f t="shared" si="11"/>
        <v>0.06</v>
      </c>
      <c r="AA56" s="834">
        <f t="shared" si="11"/>
        <v>0.06</v>
      </c>
      <c r="AB56" s="834">
        <f t="shared" si="11"/>
        <v>0.06</v>
      </c>
      <c r="AC56" s="834">
        <f t="shared" si="11"/>
        <v>0.06</v>
      </c>
      <c r="AD56" s="834">
        <f t="shared" si="11"/>
        <v>0.06</v>
      </c>
      <c r="AE56" s="834">
        <f t="shared" si="11"/>
        <v>0.06</v>
      </c>
      <c r="AF56" s="834">
        <f t="shared" si="11"/>
        <v>0.06</v>
      </c>
      <c r="AG56" s="834">
        <f t="shared" si="11"/>
        <v>0.06</v>
      </c>
      <c r="AH56" s="834">
        <f t="shared" si="11"/>
        <v>0.06</v>
      </c>
      <c r="AI56" s="834">
        <f t="shared" si="11"/>
        <v>0.06</v>
      </c>
      <c r="AJ56" s="834">
        <f t="shared" si="11"/>
        <v>0.06</v>
      </c>
      <c r="AK56" s="834">
        <f t="shared" si="11"/>
        <v>0.06</v>
      </c>
      <c r="AL56" s="834">
        <f t="shared" si="11"/>
        <v>0.06</v>
      </c>
      <c r="AM56" s="834">
        <f t="shared" si="11"/>
        <v>0.06</v>
      </c>
      <c r="AN56" s="834">
        <f t="shared" si="11"/>
        <v>0.06</v>
      </c>
      <c r="AO56" s="834">
        <f t="shared" si="11"/>
        <v>0.06</v>
      </c>
      <c r="AP56" s="834">
        <f t="shared" si="11"/>
        <v>0.06</v>
      </c>
      <c r="AQ56" s="834">
        <f t="shared" si="11"/>
        <v>0.06</v>
      </c>
      <c r="AR56" s="834">
        <f t="shared" si="11"/>
        <v>0.06</v>
      </c>
      <c r="AS56" s="834">
        <f t="shared" si="11"/>
        <v>0.06</v>
      </c>
      <c r="AT56" s="834">
        <f t="shared" si="11"/>
        <v>0.06</v>
      </c>
      <c r="AU56" s="834">
        <f t="shared" si="11"/>
        <v>0.06</v>
      </c>
      <c r="AV56" s="835">
        <f t="shared" si="11"/>
        <v>0.06</v>
      </c>
    </row>
    <row r="57" spans="2:48" s="15" customFormat="1" ht="13.5" outlineLevel="1" x14ac:dyDescent="0.25">
      <c r="B57" s="671" t="s">
        <v>1423</v>
      </c>
      <c r="C57" s="679" t="s">
        <v>1283</v>
      </c>
      <c r="D57" s="677">
        <f>SISENDID!$G$285*D56</f>
        <v>0</v>
      </c>
      <c r="E57" s="677">
        <f>SISENDID!$G$285*E56</f>
        <v>0</v>
      </c>
      <c r="F57" s="677">
        <f>SISENDID!$G$285*F56</f>
        <v>0</v>
      </c>
      <c r="G57" s="677">
        <f>SISENDID!$G$285*G56</f>
        <v>0</v>
      </c>
      <c r="H57" s="677">
        <f>SISENDID!$G$285*H56</f>
        <v>0</v>
      </c>
      <c r="I57" s="677">
        <f>SISENDID!$G$285*I56</f>
        <v>0</v>
      </c>
      <c r="J57" s="677">
        <f>SISENDID!$G$285*J56</f>
        <v>0</v>
      </c>
      <c r="K57" s="677">
        <f>SISENDID!$G$285*K56</f>
        <v>0</v>
      </c>
      <c r="L57" s="677">
        <f>SISENDID!$G$285*L56</f>
        <v>0</v>
      </c>
      <c r="M57" s="677">
        <f>SISENDID!$G$285*M56</f>
        <v>7.3411764705882341</v>
      </c>
      <c r="N57" s="677">
        <f>SISENDID!$G$285*N56</f>
        <v>14.682352941176468</v>
      </c>
      <c r="O57" s="677">
        <f>SISENDID!$G$285*O56</f>
        <v>14.682352941176468</v>
      </c>
      <c r="P57" s="677">
        <f>SISENDID!$G$285*P56</f>
        <v>14.682352941176468</v>
      </c>
      <c r="Q57" s="677">
        <f>SISENDID!$G$285*Q56</f>
        <v>14.682352941176468</v>
      </c>
      <c r="R57" s="677">
        <f>SISENDID!$G$285*R56</f>
        <v>14.682352941176468</v>
      </c>
      <c r="S57" s="677">
        <f>SISENDID!$G$285*S56</f>
        <v>14.682352941176468</v>
      </c>
      <c r="T57" s="677">
        <f>SISENDID!$G$285*T56</f>
        <v>14.682352941176468</v>
      </c>
      <c r="U57" s="677">
        <f>SISENDID!$G$285*U56</f>
        <v>14.682352941176468</v>
      </c>
      <c r="V57" s="677">
        <f>SISENDID!$G$285*V56</f>
        <v>14.682352941176468</v>
      </c>
      <c r="W57" s="677">
        <f>SISENDID!$G$285*W56</f>
        <v>14.682352941176468</v>
      </c>
      <c r="X57" s="677">
        <f>SISENDID!$G$285*X56</f>
        <v>22.023529411764702</v>
      </c>
      <c r="Y57" s="677">
        <f>SISENDID!$G$285*Y56</f>
        <v>22.023529411764702</v>
      </c>
      <c r="Z57" s="677">
        <f>SISENDID!$G$285*Z56</f>
        <v>22.023529411764702</v>
      </c>
      <c r="AA57" s="677">
        <f>SISENDID!$G$285*AA56</f>
        <v>22.023529411764702</v>
      </c>
      <c r="AB57" s="677">
        <f>SISENDID!$G$285*AB56</f>
        <v>22.023529411764702</v>
      </c>
      <c r="AC57" s="677">
        <f>SISENDID!$G$285*AC56</f>
        <v>22.023529411764702</v>
      </c>
      <c r="AD57" s="677">
        <f>SISENDID!$G$285*AD56</f>
        <v>22.023529411764702</v>
      </c>
      <c r="AE57" s="677">
        <f>SISENDID!$G$285*AE56</f>
        <v>22.023529411764702</v>
      </c>
      <c r="AF57" s="677">
        <f>SISENDID!$G$285*AF56</f>
        <v>22.023529411764702</v>
      </c>
      <c r="AG57" s="677">
        <f>SISENDID!$G$285*AG56</f>
        <v>22.023529411764702</v>
      </c>
      <c r="AH57" s="677">
        <f>SISENDID!$G$285*AH56</f>
        <v>22.023529411764702</v>
      </c>
      <c r="AI57" s="677">
        <f>SISENDID!$G$285*AI56</f>
        <v>22.023529411764702</v>
      </c>
      <c r="AJ57" s="677">
        <f>SISENDID!$G$285*AJ56</f>
        <v>22.023529411764702</v>
      </c>
      <c r="AK57" s="677">
        <f>SISENDID!$G$285*AK56</f>
        <v>22.023529411764702</v>
      </c>
      <c r="AL57" s="677">
        <f>SISENDID!$G$285*AL56</f>
        <v>22.023529411764702</v>
      </c>
      <c r="AM57" s="677">
        <f>SISENDID!$G$285*AM56</f>
        <v>22.023529411764702</v>
      </c>
      <c r="AN57" s="677">
        <f>SISENDID!$G$285*AN56</f>
        <v>22.023529411764702</v>
      </c>
      <c r="AO57" s="677">
        <f>SISENDID!$G$285*AO56</f>
        <v>22.023529411764702</v>
      </c>
      <c r="AP57" s="677">
        <f>SISENDID!$G$285*AP56</f>
        <v>22.023529411764702</v>
      </c>
      <c r="AQ57" s="677">
        <f>SISENDID!$G$285*AQ56</f>
        <v>22.023529411764702</v>
      </c>
      <c r="AR57" s="677">
        <f>SISENDID!$G$285*AR56</f>
        <v>22.023529411764702</v>
      </c>
      <c r="AS57" s="677">
        <f>SISENDID!$G$285*AS56</f>
        <v>22.023529411764702</v>
      </c>
      <c r="AT57" s="677">
        <f>SISENDID!$G$285*AT56</f>
        <v>22.023529411764702</v>
      </c>
      <c r="AU57" s="677">
        <f>SISENDID!$G$285*AU56</f>
        <v>22.023529411764702</v>
      </c>
      <c r="AV57" s="819">
        <f>SISENDID!$G$285*AV56</f>
        <v>22.023529411764702</v>
      </c>
    </row>
    <row r="58" spans="2:48" s="15" customFormat="1" ht="13.5" outlineLevel="1" x14ac:dyDescent="0.25">
      <c r="B58" s="671"/>
      <c r="C58" s="679"/>
      <c r="D58" s="677"/>
      <c r="E58" s="677"/>
      <c r="F58" s="677"/>
      <c r="G58" s="677"/>
      <c r="H58" s="677"/>
      <c r="I58" s="677"/>
      <c r="J58" s="677"/>
      <c r="K58" s="677"/>
      <c r="L58" s="677"/>
      <c r="M58" s="677"/>
      <c r="N58" s="677"/>
      <c r="O58" s="677"/>
      <c r="P58" s="677"/>
      <c r="Q58" s="677"/>
      <c r="R58" s="677"/>
      <c r="S58" s="677"/>
      <c r="T58" s="677"/>
      <c r="U58" s="677"/>
      <c r="V58" s="677"/>
      <c r="W58" s="677"/>
      <c r="X58" s="677"/>
      <c r="Y58" s="677"/>
      <c r="Z58" s="677"/>
      <c r="AA58" s="677"/>
      <c r="AB58" s="677"/>
      <c r="AC58" s="677"/>
      <c r="AD58" s="677"/>
      <c r="AE58" s="677"/>
      <c r="AF58" s="677"/>
      <c r="AG58" s="677"/>
      <c r="AH58" s="677"/>
      <c r="AI58" s="677"/>
      <c r="AJ58" s="677"/>
      <c r="AK58" s="677"/>
      <c r="AL58" s="677"/>
      <c r="AM58" s="677"/>
      <c r="AN58" s="677"/>
      <c r="AO58" s="677"/>
      <c r="AP58" s="677"/>
      <c r="AQ58" s="677"/>
      <c r="AR58" s="677"/>
      <c r="AS58" s="677"/>
      <c r="AT58" s="677"/>
      <c r="AU58" s="677"/>
      <c r="AV58" s="819"/>
    </row>
    <row r="59" spans="2:48" s="15" customFormat="1" ht="13.5" outlineLevel="1" x14ac:dyDescent="0.25">
      <c r="B59" s="817" t="s">
        <v>1284</v>
      </c>
      <c r="C59" s="818" t="s">
        <v>657</v>
      </c>
      <c r="D59" s="675">
        <f>(D53+D55+D57)*1000/$C$18*$C$17</f>
        <v>0</v>
      </c>
      <c r="E59" s="675">
        <f t="shared" ref="E59:K59" si="12">(E53+E55+E57)*1000/$C$18*$C$17</f>
        <v>0</v>
      </c>
      <c r="F59" s="675">
        <f t="shared" si="12"/>
        <v>0</v>
      </c>
      <c r="G59" s="675">
        <f t="shared" si="12"/>
        <v>0</v>
      </c>
      <c r="H59" s="675">
        <f t="shared" si="12"/>
        <v>0</v>
      </c>
      <c r="I59" s="675">
        <f t="shared" si="12"/>
        <v>0</v>
      </c>
      <c r="J59" s="675">
        <f t="shared" si="12"/>
        <v>0</v>
      </c>
      <c r="K59" s="675">
        <f t="shared" si="12"/>
        <v>0</v>
      </c>
      <c r="L59" s="675">
        <f>(L53+L55+L57)*1000/$C$18*$C$17</f>
        <v>0</v>
      </c>
      <c r="M59" s="675">
        <f t="shared" ref="M59:AV59" si="13">(M53+M55+M57)*1000/$C$18*$C$17</f>
        <v>23596.638655462182</v>
      </c>
      <c r="N59" s="675">
        <f t="shared" si="13"/>
        <v>47193.277310924364</v>
      </c>
      <c r="O59" s="675">
        <f t="shared" si="13"/>
        <v>47193.277310924364</v>
      </c>
      <c r="P59" s="675">
        <f t="shared" si="13"/>
        <v>47193.277310924364</v>
      </c>
      <c r="Q59" s="675">
        <f t="shared" si="13"/>
        <v>47193.277310924364</v>
      </c>
      <c r="R59" s="675">
        <f t="shared" si="13"/>
        <v>47193.277310924364</v>
      </c>
      <c r="S59" s="675">
        <f t="shared" si="13"/>
        <v>47193.277310924364</v>
      </c>
      <c r="T59" s="675">
        <f t="shared" si="13"/>
        <v>47193.277310924364</v>
      </c>
      <c r="U59" s="675">
        <f t="shared" si="13"/>
        <v>47193.277310924364</v>
      </c>
      <c r="V59" s="675">
        <f t="shared" si="13"/>
        <v>47193.277310924364</v>
      </c>
      <c r="W59" s="675">
        <f t="shared" si="13"/>
        <v>47193.277310924364</v>
      </c>
      <c r="X59" s="675">
        <f t="shared" si="13"/>
        <v>70789.915966386558</v>
      </c>
      <c r="Y59" s="675">
        <f t="shared" si="13"/>
        <v>70789.915966386558</v>
      </c>
      <c r="Z59" s="675">
        <f t="shared" si="13"/>
        <v>70789.915966386558</v>
      </c>
      <c r="AA59" s="675">
        <f t="shared" si="13"/>
        <v>70789.915966386558</v>
      </c>
      <c r="AB59" s="675">
        <f t="shared" si="13"/>
        <v>70789.915966386558</v>
      </c>
      <c r="AC59" s="675">
        <f t="shared" si="13"/>
        <v>70789.915966386558</v>
      </c>
      <c r="AD59" s="675">
        <f t="shared" si="13"/>
        <v>70789.915966386558</v>
      </c>
      <c r="AE59" s="675">
        <f t="shared" si="13"/>
        <v>70789.915966386558</v>
      </c>
      <c r="AF59" s="675">
        <f t="shared" si="13"/>
        <v>70789.915966386558</v>
      </c>
      <c r="AG59" s="675">
        <f t="shared" si="13"/>
        <v>70789.915966386558</v>
      </c>
      <c r="AH59" s="675">
        <f t="shared" si="13"/>
        <v>70789.915966386558</v>
      </c>
      <c r="AI59" s="675">
        <f t="shared" si="13"/>
        <v>70789.915966386558</v>
      </c>
      <c r="AJ59" s="675">
        <f t="shared" si="13"/>
        <v>70789.915966386558</v>
      </c>
      <c r="AK59" s="675">
        <f t="shared" si="13"/>
        <v>70789.915966386558</v>
      </c>
      <c r="AL59" s="675">
        <f t="shared" si="13"/>
        <v>70789.915966386558</v>
      </c>
      <c r="AM59" s="675">
        <f t="shared" si="13"/>
        <v>70789.915966386558</v>
      </c>
      <c r="AN59" s="675">
        <f t="shared" si="13"/>
        <v>70789.915966386558</v>
      </c>
      <c r="AO59" s="675">
        <f t="shared" si="13"/>
        <v>70789.915966386558</v>
      </c>
      <c r="AP59" s="675">
        <f t="shared" si="13"/>
        <v>70789.915966386558</v>
      </c>
      <c r="AQ59" s="675">
        <f t="shared" si="13"/>
        <v>70789.915966386558</v>
      </c>
      <c r="AR59" s="675">
        <f t="shared" si="13"/>
        <v>70789.915966386558</v>
      </c>
      <c r="AS59" s="675">
        <f t="shared" si="13"/>
        <v>70789.915966386558</v>
      </c>
      <c r="AT59" s="675">
        <f t="shared" si="13"/>
        <v>70789.915966386558</v>
      </c>
      <c r="AU59" s="675">
        <f t="shared" si="13"/>
        <v>70789.915966386558</v>
      </c>
      <c r="AV59" s="676">
        <f t="shared" si="13"/>
        <v>70789.915966386558</v>
      </c>
    </row>
    <row r="60" spans="2:48" s="15" customFormat="1" ht="13.5" outlineLevel="1" x14ac:dyDescent="0.25">
      <c r="B60" s="817" t="s">
        <v>1285</v>
      </c>
      <c r="C60" s="818" t="s">
        <v>1286</v>
      </c>
      <c r="D60" s="675">
        <f>D$59/100*SISENDID!F261</f>
        <v>0</v>
      </c>
      <c r="E60" s="675">
        <f>E$59/100*SISENDID!G261</f>
        <v>0</v>
      </c>
      <c r="F60" s="675">
        <f>F$59/100*SISENDID!H261</f>
        <v>0</v>
      </c>
      <c r="G60" s="675">
        <f>G$59/100*SISENDID!I261</f>
        <v>0</v>
      </c>
      <c r="H60" s="675">
        <f>H$59/100*SISENDID!J261</f>
        <v>0</v>
      </c>
      <c r="I60" s="675">
        <f>I$59/100*SISENDID!K261</f>
        <v>0</v>
      </c>
      <c r="J60" s="675">
        <f>J$59/100*SISENDID!L261</f>
        <v>0</v>
      </c>
      <c r="K60" s="675">
        <f>K$59/100*SISENDID!M261</f>
        <v>0</v>
      </c>
      <c r="L60" s="675">
        <f>L$59/100*SISENDID!N261</f>
        <v>0</v>
      </c>
      <c r="M60" s="675">
        <f>M$59/100*SISENDID!O261</f>
        <v>595.03265622181118</v>
      </c>
      <c r="N60" s="675">
        <f>N$59/100*SISENDID!P261</f>
        <v>1127.1482699135743</v>
      </c>
      <c r="O60" s="675">
        <f>O$59/100*SISENDID!Q261</f>
        <v>1065.7506201607475</v>
      </c>
      <c r="P60" s="675">
        <f>P$59/100*SISENDID!R261</f>
        <v>1005.8414869769749</v>
      </c>
      <c r="Q60" s="675">
        <f>Q$59/100*SISENDID!S261</f>
        <v>947.39058245592025</v>
      </c>
      <c r="R60" s="675">
        <f>R$59/100*SISENDID!T261</f>
        <v>890.36819607538644</v>
      </c>
      <c r="S60" s="675">
        <f>S$59/100*SISENDID!U261</f>
        <v>834.7451839801588</v>
      </c>
      <c r="T60" s="675">
        <f>T$59/100*SISENDID!V261</f>
        <v>780.4929584617214</v>
      </c>
      <c r="U60" s="675">
        <f>U$59/100*SISENDID!W261</f>
        <v>727.58347763123857</v>
      </c>
      <c r="V60" s="675">
        <f>V$59/100*SISENDID!X261</f>
        <v>675.98923528226476</v>
      </c>
      <c r="W60" s="675">
        <f>W$59/100*SISENDID!Y261</f>
        <v>625.68325093970827</v>
      </c>
      <c r="X60" s="675">
        <f>X$59/100*SISENDID!Z261</f>
        <v>864.95859013746144</v>
      </c>
      <c r="Y60" s="675">
        <f>Y$59/100*SISENDID!AA261</f>
        <v>793.24605690090675</v>
      </c>
      <c r="Z60" s="675">
        <f>Z$59/100*SISENDID!AB261</f>
        <v>723.34908493669332</v>
      </c>
      <c r="AA60" s="675">
        <f>AA$59/100*SISENDID!AC261</f>
        <v>655.23021406535327</v>
      </c>
      <c r="AB60" s="675">
        <f>AB$59/100*SISENDID!AD261</f>
        <v>588.85270208663826</v>
      </c>
      <c r="AC60" s="675">
        <f>AC$59/100*SISENDID!AE261</f>
        <v>559.13408755018429</v>
      </c>
      <c r="AD60" s="675">
        <f>AD$59/100*SISENDID!AF261</f>
        <v>529.44583075126377</v>
      </c>
      <c r="AE60" s="675">
        <f>AE$59/100*SISENDID!AG261</f>
        <v>499.78770763815356</v>
      </c>
      <c r="AF60" s="675">
        <f>AF$59/100*SISENDID!AH261</f>
        <v>470.15949564070405</v>
      </c>
      <c r="AG60" s="675">
        <f>AG$59/100*SISENDID!AI261</f>
        <v>440.56097366112556</v>
      </c>
      <c r="AH60" s="675">
        <f>AH$59/100*SISENDID!AJ261</f>
        <v>410.99192206482769</v>
      </c>
      <c r="AI60" s="675">
        <f>AI$59/100*SISENDID!AK261</f>
        <v>381.45212267131603</v>
      </c>
      <c r="AJ60" s="675">
        <f>AJ$59/100*SISENDID!AL261</f>
        <v>351.94135874514143</v>
      </c>
      <c r="AK60" s="675">
        <f>AK$59/100*SISENDID!AM261</f>
        <v>322.45941498690399</v>
      </c>
      <c r="AL60" s="675">
        <f>AL$59/100*SISENDID!AN261</f>
        <v>293.00607752431125</v>
      </c>
      <c r="AM60" s="675">
        <f>AM$59/100*SISENDID!AO261</f>
        <v>263.58113390328947</v>
      </c>
      <c r="AN60" s="675">
        <f>AN$59/100*SISENDID!AP261</f>
        <v>234.18437307914823</v>
      </c>
      <c r="AO60" s="675">
        <f>AO$59/100*SISENDID!AQ261</f>
        <v>204.81558540779801</v>
      </c>
      <c r="AP60" s="675">
        <f>AP$59/100*SISENDID!AR261</f>
        <v>175.47456263702026</v>
      </c>
      <c r="AQ60" s="675">
        <f>AQ$59/100*SISENDID!AS261</f>
        <v>146.16109789778972</v>
      </c>
      <c r="AR60" s="675">
        <f>AR$59/100*SISENDID!AT261</f>
        <v>116.87498569564895</v>
      </c>
      <c r="AS60" s="675">
        <f>AS$59/100*SISENDID!AU261</f>
        <v>87.616021902134293</v>
      </c>
      <c r="AT60" s="675">
        <f>AT$59/100*SISENDID!AV261</f>
        <v>58.384003746253264</v>
      </c>
      <c r="AU60" s="675">
        <f>AU$59/100*SISENDID!AW261</f>
        <v>29.178729806013127</v>
      </c>
      <c r="AV60" s="676">
        <f>AV$59/100*SISENDID!AX261</f>
        <v>0</v>
      </c>
    </row>
    <row r="61" spans="2:48" s="15" customFormat="1" ht="13.5" outlineLevel="1" x14ac:dyDescent="0.25">
      <c r="B61" s="817" t="s">
        <v>1285</v>
      </c>
      <c r="C61" s="818" t="s">
        <v>659</v>
      </c>
      <c r="D61" s="675">
        <f>D60*SISENDID!$E$418</f>
        <v>0</v>
      </c>
      <c r="E61" s="675">
        <f>E60*SISENDID!$E$418</f>
        <v>0</v>
      </c>
      <c r="F61" s="675">
        <f>F60*SISENDID!$E$418</f>
        <v>0</v>
      </c>
      <c r="G61" s="675">
        <f>G60*SISENDID!$E$418</f>
        <v>0</v>
      </c>
      <c r="H61" s="675">
        <f>H60*SISENDID!$E$418</f>
        <v>0</v>
      </c>
      <c r="I61" s="675">
        <f>I60*SISENDID!$E$418</f>
        <v>0</v>
      </c>
      <c r="J61" s="675">
        <f>J60*SISENDID!$E$418</f>
        <v>0</v>
      </c>
      <c r="K61" s="675">
        <f>K60*SISENDID!$E$418</f>
        <v>0</v>
      </c>
      <c r="L61" s="675">
        <f>L60*SISENDID!$E$418</f>
        <v>0</v>
      </c>
      <c r="M61" s="675">
        <f>M60*SISENDID!$E$418</f>
        <v>5889.7522378147314</v>
      </c>
      <c r="N61" s="675">
        <f>N60*SISENDID!$E$418</f>
        <v>11156.73900525854</v>
      </c>
      <c r="O61" s="675">
        <f>O60*SISENDID!$E$418</f>
        <v>10549.012788475111</v>
      </c>
      <c r="P61" s="675">
        <f>P60*SISENDID!$E$418</f>
        <v>9956.020206395493</v>
      </c>
      <c r="Q61" s="675">
        <f>Q60*SISENDID!$E$418</f>
        <v>9377.4614632651883</v>
      </c>
      <c r="R61" s="675">
        <f>R60*SISENDID!$E$418</f>
        <v>8813.0424783933886</v>
      </c>
      <c r="S61" s="675">
        <f>S60*SISENDID!$E$418</f>
        <v>8262.4747800724072</v>
      </c>
      <c r="T61" s="675">
        <f>T60*SISENDID!$E$418</f>
        <v>7725.4754014458103</v>
      </c>
      <c r="U61" s="675">
        <f>U60*SISENDID!$E$418</f>
        <v>7201.7667782895251</v>
      </c>
      <c r="V61" s="675">
        <f>V60*SISENDID!$E$418</f>
        <v>6691.0766486709126</v>
      </c>
      <c r="W61" s="675">
        <f>W60*SISENDID!$E$418</f>
        <v>6193.1379544514202</v>
      </c>
      <c r="X61" s="675">
        <f>X60*SISENDID!$E$418</f>
        <v>8561.5331168986195</v>
      </c>
      <c r="Y61" s="675">
        <f>Y60*SISENDID!$E$418</f>
        <v>7851.7081204165543</v>
      </c>
      <c r="Z61" s="675">
        <f>Z60*SISENDID!$E$418</f>
        <v>7159.853912520377</v>
      </c>
      <c r="AA61" s="675">
        <f>AA60*SISENDID!$E$418</f>
        <v>6485.5997048616791</v>
      </c>
      <c r="AB61" s="675">
        <f>AB60*SISENDID!$E$418</f>
        <v>5828.5818157939621</v>
      </c>
      <c r="AC61" s="675">
        <f>AC60*SISENDID!$E$418</f>
        <v>5534.4210253892334</v>
      </c>
      <c r="AD61" s="675">
        <f>AD60*SISENDID!$E$418</f>
        <v>5240.560721942159</v>
      </c>
      <c r="AE61" s="675">
        <f>AE60*SISENDID!$E$418</f>
        <v>4946.9986877439715</v>
      </c>
      <c r="AF61" s="675">
        <f>AF60*SISENDID!$E$418</f>
        <v>4653.7327197508166</v>
      </c>
      <c r="AG61" s="675">
        <f>AG60*SISENDID!$E$418</f>
        <v>4360.7606294925527</v>
      </c>
      <c r="AH61" s="675">
        <f>AH60*SISENDID!$E$418</f>
        <v>4068.0802429820769</v>
      </c>
      <c r="AI61" s="675">
        <f>AI60*SISENDID!$E$418</f>
        <v>3775.6894006252201</v>
      </c>
      <c r="AJ61" s="675">
        <f>AJ60*SISENDID!$E$418</f>
        <v>3483.5859571311585</v>
      </c>
      <c r="AK61" s="675">
        <f>AK60*SISENDID!$E$418</f>
        <v>3191.767781423373</v>
      </c>
      <c r="AL61" s="675">
        <f>AL60*SISENDID!$E$418</f>
        <v>2900.2327565511373</v>
      </c>
      <c r="AM61" s="675">
        <f>AM60*SISENDID!$E$418</f>
        <v>2608.9787796015398</v>
      </c>
      <c r="AN61" s="675">
        <f>AN60*SISENDID!$E$418</f>
        <v>2318.0037616120248</v>
      </c>
      <c r="AO61" s="675">
        <f>AO60*SISENDID!$E$418</f>
        <v>2027.3056274834662</v>
      </c>
      <c r="AP61" s="675">
        <f>AP60*SISENDID!$E$418</f>
        <v>1736.8823158937537</v>
      </c>
      <c r="AQ61" s="675">
        <f>AQ60*SISENDID!$E$418</f>
        <v>1446.731779211902</v>
      </c>
      <c r="AR61" s="675">
        <f>AR60*SISENDID!$E$418</f>
        <v>1156.8519834126723</v>
      </c>
      <c r="AS61" s="675">
        <f>AS60*SISENDID!$E$418</f>
        <v>867.24090799170563</v>
      </c>
      <c r="AT61" s="675">
        <f>AT60*SISENDID!$E$418</f>
        <v>577.896545881164</v>
      </c>
      <c r="AU61" s="675">
        <f>AU60*SISENDID!$E$418</f>
        <v>288.81690336587911</v>
      </c>
      <c r="AV61" s="676">
        <f>AV60*SISENDID!$E$418</f>
        <v>0</v>
      </c>
    </row>
    <row r="62" spans="2:48" s="15" customFormat="1" ht="13.5" outlineLevel="1" x14ac:dyDescent="0.25">
      <c r="B62" s="817" t="s">
        <v>1287</v>
      </c>
      <c r="C62" s="818" t="s">
        <v>659</v>
      </c>
      <c r="D62" s="675">
        <f>D$59/100*SISENDID!F262</f>
        <v>0</v>
      </c>
      <c r="E62" s="675">
        <f>E$59/100*SISENDID!G262</f>
        <v>0</v>
      </c>
      <c r="F62" s="675">
        <f>F$59/100*SISENDID!H262</f>
        <v>0</v>
      </c>
      <c r="G62" s="675">
        <f>G$59/100*SISENDID!I262</f>
        <v>0</v>
      </c>
      <c r="H62" s="675">
        <f>H$59/100*SISENDID!J262</f>
        <v>0</v>
      </c>
      <c r="I62" s="675">
        <f>I$59/100*SISENDID!K262</f>
        <v>0</v>
      </c>
      <c r="J62" s="675">
        <f>J$59/100*SISENDID!L262</f>
        <v>0</v>
      </c>
      <c r="K62" s="675">
        <f>K$59/100*SISENDID!M262</f>
        <v>0</v>
      </c>
      <c r="L62" s="675">
        <f>L$59/100*SISENDID!N262</f>
        <v>0</v>
      </c>
      <c r="M62" s="675">
        <f>M$59/100*SISENDID!O262</f>
        <v>2770.9868400759105</v>
      </c>
      <c r="N62" s="675">
        <f>N$59/100*SISENDID!P262</f>
        <v>5685.1008278391701</v>
      </c>
      <c r="O62" s="675">
        <f>O$59/100*SISENDID!Q262</f>
        <v>5827.6369246676359</v>
      </c>
      <c r="P62" s="675">
        <f>P$59/100*SISENDID!R262</f>
        <v>5969.5837442039328</v>
      </c>
      <c r="Q62" s="675">
        <f>Q$59/100*SISENDID!S262</f>
        <v>6110.9430553753455</v>
      </c>
      <c r="R62" s="675">
        <f>R$59/100*SISENDID!T262</f>
        <v>6251.7166224807543</v>
      </c>
      <c r="S62" s="675">
        <f>S$59/100*SISENDID!U262</f>
        <v>6391.906205201607</v>
      </c>
      <c r="T62" s="675">
        <f>T$59/100*SISENDID!V262</f>
        <v>6531.5135586128954</v>
      </c>
      <c r="U62" s="675">
        <f>U$59/100*SISENDID!W262</f>
        <v>6670.5404331940863</v>
      </c>
      <c r="V62" s="675">
        <f>V$59/100*SISENDID!X262</f>
        <v>6808.9885748400466</v>
      </c>
      <c r="W62" s="675">
        <f>W$59/100*SISENDID!Y262</f>
        <v>6946.8597248719307</v>
      </c>
      <c r="X62" s="675">
        <f>X$59/100*SISENDID!Z262</f>
        <v>10626.233430072087</v>
      </c>
      <c r="Y62" s="675">
        <f>Y$59/100*SISENDID!AA262</f>
        <v>10831.316988862134</v>
      </c>
      <c r="Z62" s="675">
        <f>Z$59/100*SISENDID!AB262</f>
        <v>11035.542855175789</v>
      </c>
      <c r="AA62" s="675">
        <f>AA$59/100*SISENDID!AC262</f>
        <v>11238.91361371526</v>
      </c>
      <c r="AB62" s="675">
        <f>AB$59/100*SISENDID!AD262</f>
        <v>11441.431842403372</v>
      </c>
      <c r="AC62" s="675">
        <f>AC$59/100*SISENDID!AE262</f>
        <v>11524.722025008698</v>
      </c>
      <c r="AD62" s="675">
        <f>AD$59/100*SISENDID!AF262</f>
        <v>11607.805635865358</v>
      </c>
      <c r="AE62" s="675">
        <f>AE$59/100*SISENDID!AG262</f>
        <v>11690.682055360801</v>
      </c>
      <c r="AF62" s="675">
        <f>AF$59/100*SISENDID!AH262</f>
        <v>11773.350674005727</v>
      </c>
      <c r="AG62" s="675">
        <f>AG$59/100*SISENDID!AI262</f>
        <v>11855.810892355725</v>
      </c>
      <c r="AH62" s="675">
        <f>AH$59/100*SISENDID!AJ262</f>
        <v>11938.062120933369</v>
      </c>
      <c r="AI62" s="675">
        <f>AI$59/100*SISENDID!AK262</f>
        <v>12020.103780150876</v>
      </c>
      <c r="AJ62" s="675">
        <f>AJ$59/100*SISENDID!AL262</f>
        <v>12101.935300233217</v>
      </c>
      <c r="AK62" s="675">
        <f>AK$59/100*SISENDID!AM262</f>
        <v>12183.556121141739</v>
      </c>
      <c r="AL62" s="675">
        <f>AL$59/100*SISENDID!AN262</f>
        <v>12264.965692498301</v>
      </c>
      <c r="AM62" s="675">
        <f>AM$59/100*SISENDID!AO262</f>
        <v>12346.163473509871</v>
      </c>
      <c r="AN62" s="675">
        <f>AN$59/100*SISENDID!AP262</f>
        <v>12427.148932893633</v>
      </c>
      <c r="AO62" s="675">
        <f>AO$59/100*SISENDID!AQ262</f>
        <v>12507.921548802562</v>
      </c>
      <c r="AP62" s="675">
        <f>AP$59/100*SISENDID!AR262</f>
        <v>12588.480808751508</v>
      </c>
      <c r="AQ62" s="675">
        <f>AQ$59/100*SISENDID!AS262</f>
        <v>12668.826209543724</v>
      </c>
      <c r="AR62" s="675">
        <f>AR$59/100*SISENDID!AT262</f>
        <v>12748.957257197902</v>
      </c>
      <c r="AS62" s="675">
        <f>AS$59/100*SISENDID!AU262</f>
        <v>12828.873466875662</v>
      </c>
      <c r="AT62" s="675">
        <f>AT$59/100*SISENDID!AV262</f>
        <v>12908.57436280953</v>
      </c>
      <c r="AU62" s="675">
        <f>AU$59/100*SISENDID!AW262</f>
        <v>12988.059478231362</v>
      </c>
      <c r="AV62" s="676">
        <f>AV$59/100*SISENDID!AX262</f>
        <v>13067.328355301244</v>
      </c>
    </row>
    <row r="63" spans="2:48" s="39" customFormat="1" ht="13.5" outlineLevel="1" x14ac:dyDescent="0.25">
      <c r="B63" s="689" t="s">
        <v>1261</v>
      </c>
      <c r="C63" s="693" t="s">
        <v>853</v>
      </c>
      <c r="D63" s="710">
        <f>D$59*SISENDID!E263/1000</f>
        <v>0</v>
      </c>
      <c r="E63" s="710">
        <f>E$59*SISENDID!F263/1000</f>
        <v>0</v>
      </c>
      <c r="F63" s="710">
        <f>F$59*SISENDID!G263/1000</f>
        <v>0</v>
      </c>
      <c r="G63" s="710">
        <f>G$59*SISENDID!H263/1000</f>
        <v>0</v>
      </c>
      <c r="H63" s="710">
        <f>H$59*SISENDID!I263/1000</f>
        <v>0</v>
      </c>
      <c r="I63" s="710">
        <f>I$59*SISENDID!J263/1000</f>
        <v>0</v>
      </c>
      <c r="J63" s="710">
        <f>J$59*SISENDID!K263/1000</f>
        <v>0</v>
      </c>
      <c r="K63" s="710">
        <f>K$59*SISENDID!L263/1000</f>
        <v>0</v>
      </c>
      <c r="L63" s="710">
        <f>L$59*SISENDID!M263/1000</f>
        <v>0</v>
      </c>
      <c r="M63" s="710">
        <f>M$59*SISENDID!N263/1000</f>
        <v>1770.1548262525955</v>
      </c>
      <c r="N63" s="710">
        <f>N$59*SISENDID!O263/1000</f>
        <v>3110.3254639176216</v>
      </c>
      <c r="O63" s="710">
        <f>O$59*SISENDID!P263/1000</f>
        <v>2943.7577687461644</v>
      </c>
      <c r="P63" s="710">
        <f>P$59*SISENDID!Q263/1000</f>
        <v>2781.3747274690986</v>
      </c>
      <c r="Q63" s="710">
        <f>Q$59*SISENDID!R263/1000</f>
        <v>2623.085796268283</v>
      </c>
      <c r="R63" s="710">
        <f>R$59*SISENDID!S263/1000</f>
        <v>2468.8023084936135</v>
      </c>
      <c r="S63" s="710">
        <f>S$59*SISENDID!T263/1000</f>
        <v>2318.4374360822417</v>
      </c>
      <c r="T63" s="710">
        <f>T$59*SISENDID!U263/1000</f>
        <v>2171.9061517722607</v>
      </c>
      <c r="U63" s="710">
        <f>U$59*SISENDID!V263/1000</f>
        <v>2029.125192094446</v>
      </c>
      <c r="V63" s="710">
        <f>V$59*SISENDID!W263/1000</f>
        <v>1890.0130211259666</v>
      </c>
      <c r="W63" s="710">
        <f>W$59*SISENDID!X263/1000</f>
        <v>1754.4897949903184</v>
      </c>
      <c r="X63" s="710">
        <f>X$59*SISENDID!Y263/1000</f>
        <v>2433.7159906321131</v>
      </c>
      <c r="Y63" s="710">
        <f>Y$59*SISENDID!Z263/1000</f>
        <v>2240.8485810650177</v>
      </c>
      <c r="Z63" s="710">
        <f>Z$59*SISENDID!AA263/1000</f>
        <v>2053.0200035267294</v>
      </c>
      <c r="AA63" s="710">
        <f>AA$59*SISENDID!AB263/1000</f>
        <v>1870.1201335669</v>
      </c>
      <c r="AB63" s="710">
        <f>AB$59*SISENDID!AC263/1000</f>
        <v>1692.0411345514326</v>
      </c>
      <c r="AC63" s="710">
        <f>AC$59*SISENDID!AD263/1000</f>
        <v>1518.6774106591856</v>
      </c>
      <c r="AD63" s="710">
        <f>AD$59*SISENDID!AE263/1000</f>
        <v>1423.5369853477657</v>
      </c>
      <c r="AE63" s="710">
        <f>AE$59*SISENDID!AF263/1000</f>
        <v>1330.6759610836848</v>
      </c>
      <c r="AF63" s="710">
        <f>AF$59*SISENDID!AG263/1000</f>
        <v>1240.0477297877258</v>
      </c>
      <c r="AG63" s="710">
        <f>AG$59*SISENDID!AH263/1000</f>
        <v>1151.6066007454331</v>
      </c>
      <c r="AH63" s="710">
        <f>AH$59*SISENDID!AI263/1000</f>
        <v>1065.3077825527071</v>
      </c>
      <c r="AI63" s="710">
        <f>AI$59*SISENDID!AJ263/1000</f>
        <v>981.10736542089046</v>
      </c>
      <c r="AJ63" s="710">
        <f>AJ$59*SISENDID!AK263/1000</f>
        <v>898.96230383410011</v>
      </c>
      <c r="AK63" s="710">
        <f>AK$59*SISENDID!AL263/1000</f>
        <v>818.83039955170102</v>
      </c>
      <c r="AL63" s="710">
        <f>AL$59*SISENDID!AM263/1000</f>
        <v>740.67028494896749</v>
      </c>
      <c r="AM63" s="710">
        <f>AM$59*SISENDID!AN263/1000</f>
        <v>664.44140668911587</v>
      </c>
      <c r="AN63" s="710">
        <f>AN$59*SISENDID!AO263/1000</f>
        <v>590.10400972003367</v>
      </c>
      <c r="AO63" s="710">
        <f>AO$59*SISENDID!AP263/1000</f>
        <v>517.61912158916118</v>
      </c>
      <c r="AP63" s="710">
        <f>AP$59*SISENDID!AQ263/1000</f>
        <v>446.94853707012294</v>
      </c>
      <c r="AQ63" s="710">
        <f>AQ$59*SISENDID!AR263/1000</f>
        <v>378.05480309482817</v>
      </c>
      <c r="AR63" s="710">
        <f>AR$59*SISENDID!AS263/1000</f>
        <v>310.90120398489222</v>
      </c>
      <c r="AS63" s="710">
        <f>AS$59*SISENDID!AT263/1000</f>
        <v>245.45174697635409</v>
      </c>
      <c r="AT63" s="710">
        <f>AT$59*SISENDID!AU263/1000</f>
        <v>181.67114803178833</v>
      </c>
      <c r="AU63" s="710">
        <f>AU$59*SISENDID!AV263/1000</f>
        <v>119.5248179340293</v>
      </c>
      <c r="AV63" s="426">
        <f>AV$59*SISENDID!AW263/1000</f>
        <v>58.978848655843535</v>
      </c>
    </row>
    <row r="65" spans="4:5" x14ac:dyDescent="0.25">
      <c r="D65" s="125"/>
    </row>
    <row r="66" spans="4:5" x14ac:dyDescent="0.25">
      <c r="D66" s="294"/>
      <c r="E66" s="127"/>
    </row>
    <row r="67" spans="4:5" x14ac:dyDescent="0.25">
      <c r="D67" s="294"/>
      <c r="E67" s="128"/>
    </row>
    <row r="68" spans="4:5" x14ac:dyDescent="0.25">
      <c r="D68" s="294"/>
      <c r="E68" s="128"/>
    </row>
    <row r="69" spans="4:5" x14ac:dyDescent="0.25">
      <c r="D69" s="129"/>
      <c r="E69" s="128"/>
    </row>
    <row r="70" spans="4:5" x14ac:dyDescent="0.25">
      <c r="E70" s="128"/>
    </row>
    <row r="71" spans="4:5" x14ac:dyDescent="0.25">
      <c r="E71" s="128"/>
    </row>
    <row r="72" spans="4:5" x14ac:dyDescent="0.25">
      <c r="E72" s="127"/>
    </row>
    <row r="73" spans="4:5" x14ac:dyDescent="0.25">
      <c r="E73" s="127"/>
    </row>
    <row r="74" spans="4:5" x14ac:dyDescent="0.25">
      <c r="E74" s="127"/>
    </row>
    <row r="75" spans="4:5" x14ac:dyDescent="0.25">
      <c r="E75" s="127"/>
    </row>
  </sheetData>
  <sheetProtection algorithmName="SHA-512" hashValue="/S2K33XXW0dVxmbxzk70vYZfFRpM3g7HEqK6V+jMBaY1htw+aC0K8Ks74f/sLrI4Ki/8EaarNO+cItVdF+Utkw==" saltValue="A8zTMV8Vapo9aXUNexbRDw==" spinCount="100000" sheet="1" objects="1" scenarios="1" selectLockedCells="1"/>
  <mergeCells count="2">
    <mergeCell ref="B3:E3"/>
    <mergeCell ref="F3:L3"/>
  </mergeCells>
  <conditionalFormatting sqref="C36:C38">
    <cfRule type="containsText" dxfId="23" priority="1" operator="containsText" text="Kõrge">
      <formula>NOT(ISERROR(SEARCH("Kõrge",C36)))</formula>
    </cfRule>
    <cfRule type="containsText" dxfId="22" priority="2" operator="containsText" text="Mõõdukas">
      <formula>NOT(ISERROR(SEARCH("Mõõdukas",C36)))</formula>
    </cfRule>
    <cfRule type="containsText" dxfId="21" priority="3" operator="containsText" text="Madal">
      <formula>NOT(ISERROR(SEARCH("Madal",C36)))</formula>
    </cfRule>
  </conditionalFormatting>
  <dataValidations count="3">
    <dataValidation type="list" allowBlank="1" showInputMessage="1" showErrorMessage="1" sqref="C38" xr:uid="{D150FBBD-0D67-407F-AC16-8AB2868E3E7D}">
      <formula1>I36:I38</formula1>
    </dataValidation>
    <dataValidation type="list" allowBlank="1" showInputMessage="1" showErrorMessage="1" sqref="C37" xr:uid="{C8C06BD6-5494-4E2C-B781-03E0FAFC8897}">
      <formula1>I36:I38</formula1>
    </dataValidation>
    <dataValidation type="list" allowBlank="1" showInputMessage="1" showErrorMessage="1" sqref="C36" xr:uid="{B706959D-B9E8-42A4-AD8E-A5409291B43B}">
      <formula1>I36:I38</formula1>
    </dataValidation>
  </dataValidations>
  <hyperlinks>
    <hyperlink ref="B1" location="MEETMED!A1" display="&lt;-MEETMETE NIMEKIRI" xr:uid="{1D431AC8-C8A9-4BE3-97F9-795A08AA4468}"/>
    <hyperlink ref="F15" r:id="rId1" xr:uid="{8F942445-6D6A-4111-A2F6-15E21F702463}"/>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5A659-0245-4605-81E8-A18F39FEC558}">
  <sheetPr>
    <tabColor theme="5" tint="0.79998168889431442"/>
  </sheetPr>
  <dimension ref="A1:AV92"/>
  <sheetViews>
    <sheetView workbookViewId="0">
      <selection activeCell="J24" sqref="J24"/>
    </sheetView>
  </sheetViews>
  <sheetFormatPr defaultColWidth="8.85546875" defaultRowHeight="15" outlineLevelRow="2" x14ac:dyDescent="0.25"/>
  <cols>
    <col min="1" max="1" width="2.28515625" customWidth="1"/>
    <col min="2" max="2" width="44.5703125" customWidth="1"/>
    <col min="3" max="4" width="11.285156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6.75" customHeight="1" x14ac:dyDescent="0.25">
      <c r="A3" s="260" t="s">
        <v>147</v>
      </c>
      <c r="B3" s="991" t="str">
        <f>"MEEDE: "&amp;VLOOKUP(A3,MEETMED!B:G,2,FALSE)</f>
        <v>MEEDE: Üldine ühistranspordi arendamine</v>
      </c>
      <c r="C3" s="991"/>
      <c r="D3" s="991"/>
      <c r="E3" s="991"/>
      <c r="F3" s="991"/>
      <c r="G3" s="991" t="str">
        <f>"TEGEVUS: "&amp;VLOOKUP(A3,MEETMED!B:G,3,FALSE)</f>
        <v>TEGEVUS: Kõikidel põhiteedel on ühissõidukirada, eelistatavalt tee keskel, bussitaskute vajaduse eemaldamine</v>
      </c>
      <c r="H3" s="991"/>
      <c r="I3" s="991"/>
      <c r="J3" s="991"/>
      <c r="K3" s="991"/>
      <c r="L3" s="991"/>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46" t="s">
        <v>1073</v>
      </c>
      <c r="C5" s="46"/>
      <c r="D5" s="46"/>
      <c r="E5" s="46"/>
      <c r="F5" s="46"/>
      <c r="G5" s="46"/>
      <c r="H5" s="46"/>
      <c r="I5" s="46"/>
      <c r="J5" s="46"/>
      <c r="K5" s="46"/>
      <c r="L5" s="46"/>
      <c r="M5" s="1"/>
      <c r="N5" s="1"/>
      <c r="P5" s="1"/>
      <c r="Q5" s="1"/>
      <c r="R5" s="1"/>
      <c r="S5" s="1"/>
      <c r="T5" s="1"/>
      <c r="U5" s="1"/>
      <c r="V5" s="1"/>
      <c r="W5" s="1"/>
      <c r="X5" s="1"/>
      <c r="Y5" s="1"/>
      <c r="Z5" s="1"/>
      <c r="AA5" s="1"/>
    </row>
    <row r="6" spans="1:27" s="1" customFormat="1" ht="14.25" customHeight="1" outlineLevel="1" x14ac:dyDescent="0.25">
      <c r="D6" s="2"/>
    </row>
    <row r="7" spans="1:27" s="1" customFormat="1" ht="12.75" customHeight="1" outlineLevel="1" x14ac:dyDescent="0.25">
      <c r="B7" s="4" t="s">
        <v>1181</v>
      </c>
      <c r="C7" s="10" t="s">
        <v>899</v>
      </c>
      <c r="D7" s="4" t="s">
        <v>851</v>
      </c>
      <c r="E7" s="4" t="s">
        <v>3</v>
      </c>
    </row>
    <row r="8" spans="1:27" s="1" customFormat="1" ht="12.75" customHeight="1" outlineLevel="1" x14ac:dyDescent="0.25">
      <c r="B8" s="123" t="s">
        <v>1486</v>
      </c>
      <c r="C8" s="123"/>
      <c r="D8" s="123"/>
      <c r="E8" s="123"/>
      <c r="F8" s="123"/>
      <c r="G8" s="123"/>
      <c r="H8" s="123"/>
      <c r="I8" s="123"/>
      <c r="J8" s="123"/>
      <c r="K8" s="123"/>
      <c r="L8" s="123"/>
    </row>
    <row r="9" spans="1:27" s="1" customFormat="1" ht="5.25" customHeight="1" outlineLevel="1" x14ac:dyDescent="0.25">
      <c r="D9" s="2"/>
    </row>
    <row r="10" spans="1:27" s="1" customFormat="1" outlineLevel="1" x14ac:dyDescent="0.25">
      <c r="B10" s="7" t="s">
        <v>1288</v>
      </c>
      <c r="C10" s="60">
        <v>2030</v>
      </c>
      <c r="D10" s="7" t="s">
        <v>863</v>
      </c>
    </row>
    <row r="11" spans="1:27" s="1" customFormat="1" outlineLevel="1" x14ac:dyDescent="0.25">
      <c r="B11" s="7" t="s">
        <v>1289</v>
      </c>
      <c r="C11" s="60">
        <v>2040</v>
      </c>
      <c r="D11" s="7" t="s">
        <v>863</v>
      </c>
    </row>
    <row r="12" spans="1:27" s="1" customFormat="1" outlineLevel="1" x14ac:dyDescent="0.25">
      <c r="B12" s="7" t="s">
        <v>1290</v>
      </c>
      <c r="C12" s="11">
        <f>C11-C10+1</f>
        <v>11</v>
      </c>
      <c r="D12" s="7" t="s">
        <v>863</v>
      </c>
      <c r="E12" s="7"/>
      <c r="F12" s="7"/>
      <c r="G12" s="7"/>
      <c r="H12" s="7"/>
      <c r="I12" s="7"/>
      <c r="J12" s="7"/>
      <c r="K12" s="7"/>
      <c r="L12" s="7"/>
    </row>
    <row r="13" spans="1:27" s="1" customFormat="1" outlineLevel="1" x14ac:dyDescent="0.25">
      <c r="B13" s="7" t="s">
        <v>1291</v>
      </c>
      <c r="C13" s="60">
        <v>2026</v>
      </c>
      <c r="D13" s="7" t="s">
        <v>863</v>
      </c>
      <c r="E13" s="7"/>
      <c r="F13" s="7"/>
      <c r="G13" s="7"/>
      <c r="H13" s="7"/>
      <c r="I13" s="7"/>
      <c r="J13" s="7"/>
      <c r="K13" s="7"/>
      <c r="L13" s="7"/>
    </row>
    <row r="14" spans="1:27" s="1" customFormat="1" outlineLevel="1" x14ac:dyDescent="0.25">
      <c r="B14" s="7" t="s">
        <v>1292</v>
      </c>
      <c r="C14" s="60">
        <v>2050</v>
      </c>
      <c r="D14" s="7" t="s">
        <v>863</v>
      </c>
      <c r="E14" s="7"/>
      <c r="F14" s="7"/>
      <c r="G14" s="7"/>
      <c r="H14" s="7"/>
      <c r="I14" s="7"/>
      <c r="J14" s="7"/>
      <c r="K14" s="7"/>
      <c r="L14" s="7"/>
    </row>
    <row r="15" spans="1:27" s="1" customFormat="1" outlineLevel="1" x14ac:dyDescent="0.25">
      <c r="B15" s="7" t="s">
        <v>865</v>
      </c>
      <c r="C15" s="11">
        <f>C14-C13+1</f>
        <v>25</v>
      </c>
      <c r="D15" s="7" t="s">
        <v>863</v>
      </c>
      <c r="E15" s="7"/>
      <c r="F15" s="7"/>
      <c r="G15" s="7"/>
      <c r="H15" s="7"/>
      <c r="I15" s="7"/>
      <c r="J15" s="7"/>
      <c r="K15" s="7"/>
      <c r="L15" s="7"/>
    </row>
    <row r="16" spans="1:27" s="1" customFormat="1" hidden="1" outlineLevel="1" x14ac:dyDescent="0.25">
      <c r="B16" s="7"/>
      <c r="C16" s="7"/>
      <c r="D16" s="7"/>
      <c r="E16" s="7"/>
      <c r="F16" s="7"/>
      <c r="G16" s="7"/>
      <c r="H16" s="7"/>
      <c r="I16" s="7"/>
      <c r="J16" s="7"/>
      <c r="K16" s="7"/>
      <c r="L16" s="7"/>
    </row>
    <row r="17" spans="1:34" s="1" customFormat="1" hidden="1" outlineLevel="1" x14ac:dyDescent="0.25">
      <c r="B17" s="7"/>
      <c r="C17" s="7"/>
      <c r="D17" s="7"/>
      <c r="E17" s="7"/>
      <c r="F17" s="7"/>
      <c r="G17" s="7"/>
      <c r="H17" s="7"/>
      <c r="I17" s="7"/>
      <c r="J17" s="7"/>
      <c r="K17" s="7"/>
      <c r="L17" s="7"/>
    </row>
    <row r="18" spans="1:34" s="1" customFormat="1" hidden="1" outlineLevel="1" x14ac:dyDescent="0.25">
      <c r="B18" s="7"/>
      <c r="C18" s="7"/>
      <c r="D18" s="7"/>
      <c r="E18" s="7"/>
      <c r="F18" s="7"/>
      <c r="G18" s="7"/>
      <c r="H18" s="7"/>
      <c r="I18" s="7"/>
      <c r="J18" s="7"/>
      <c r="K18" s="7"/>
      <c r="L18" s="7"/>
    </row>
    <row r="19" spans="1:34" s="1" customFormat="1" ht="5.25" customHeight="1" outlineLevel="1" x14ac:dyDescent="0.25">
      <c r="D19" s="2"/>
    </row>
    <row r="20" spans="1:34" s="1" customFormat="1" outlineLevel="1" x14ac:dyDescent="0.25">
      <c r="B20" s="123" t="s">
        <v>1487</v>
      </c>
      <c r="C20" s="123"/>
      <c r="D20" s="123"/>
      <c r="E20" s="123"/>
      <c r="F20" s="123"/>
      <c r="G20" s="123"/>
      <c r="H20" s="123"/>
      <c r="I20" s="123"/>
      <c r="J20" s="123"/>
      <c r="K20" s="123"/>
      <c r="L20" s="123"/>
    </row>
    <row r="21" spans="1:34" s="1" customFormat="1" ht="5.25" customHeight="1" outlineLevel="1" x14ac:dyDescent="0.25">
      <c r="D21" s="2"/>
    </row>
    <row r="22" spans="1:34" s="1" customFormat="1" outlineLevel="1" x14ac:dyDescent="0.25">
      <c r="B22" s="162" t="s">
        <v>1488</v>
      </c>
      <c r="C22" s="163"/>
      <c r="D22" s="164"/>
      <c r="E22" s="163"/>
      <c r="F22" s="163"/>
      <c r="G22" s="163"/>
      <c r="H22" s="163"/>
      <c r="I22" s="163"/>
      <c r="J22" s="163"/>
      <c r="K22" s="163"/>
      <c r="L22" s="163"/>
    </row>
    <row r="23" spans="1:34" s="1" customFormat="1" outlineLevel="1" x14ac:dyDescent="0.25">
      <c r="B23" s="7" t="s">
        <v>1489</v>
      </c>
      <c r="C23" s="35">
        <v>200000</v>
      </c>
      <c r="D23" s="7" t="s">
        <v>1294</v>
      </c>
      <c r="E23" s="7"/>
      <c r="F23" s="7"/>
      <c r="G23" s="7"/>
      <c r="H23" s="7"/>
      <c r="I23" s="7"/>
      <c r="J23" s="7"/>
      <c r="K23" s="7"/>
      <c r="L23" s="7"/>
      <c r="N23" s="273"/>
      <c r="O23" s="274"/>
      <c r="P23" s="274"/>
      <c r="Q23" s="274"/>
      <c r="R23" s="274"/>
      <c r="S23" s="274"/>
      <c r="T23" s="273"/>
    </row>
    <row r="24" spans="1:34" s="5" customFormat="1" outlineLevel="1" x14ac:dyDescent="0.25">
      <c r="A24" s="1"/>
      <c r="B24" s="7" t="s">
        <v>1295</v>
      </c>
      <c r="C24" s="35">
        <v>100000</v>
      </c>
      <c r="D24" s="7" t="s">
        <v>1294</v>
      </c>
      <c r="E24" s="7" t="s">
        <v>1296</v>
      </c>
      <c r="F24" s="7"/>
      <c r="G24" s="7"/>
      <c r="H24" s="7"/>
      <c r="I24" s="7"/>
      <c r="J24" s="7"/>
      <c r="K24" s="7"/>
      <c r="L24" s="7"/>
      <c r="M24" s="1"/>
      <c r="N24" s="273"/>
      <c r="O24" s="275"/>
      <c r="P24" s="275"/>
      <c r="Q24" s="275"/>
      <c r="R24" s="275"/>
      <c r="S24" s="273"/>
      <c r="T24" s="273"/>
      <c r="U24" s="1"/>
      <c r="V24" s="1"/>
      <c r="W24" s="1"/>
      <c r="X24" s="1"/>
      <c r="Y24" s="1"/>
      <c r="Z24" s="1"/>
      <c r="AA24" s="1"/>
      <c r="AB24" s="1"/>
      <c r="AC24" s="1"/>
      <c r="AD24" s="1"/>
      <c r="AE24" s="1"/>
      <c r="AF24" s="1"/>
      <c r="AG24" s="1"/>
      <c r="AH24" s="1"/>
    </row>
    <row r="25" spans="1:34" s="1" customFormat="1" outlineLevel="1" x14ac:dyDescent="0.25">
      <c r="B25" s="7" t="s">
        <v>1300</v>
      </c>
      <c r="C25" s="35">
        <f>Q25-Q24</f>
        <v>0</v>
      </c>
      <c r="D25" s="7" t="s">
        <v>1490</v>
      </c>
      <c r="E25" s="7"/>
      <c r="F25" s="7"/>
      <c r="G25" s="7"/>
      <c r="H25" s="7"/>
      <c r="I25" s="7"/>
      <c r="J25" s="7"/>
      <c r="K25" s="7"/>
      <c r="L25" s="7"/>
      <c r="N25" s="273"/>
      <c r="O25" s="275"/>
      <c r="P25" s="275"/>
      <c r="Q25" s="275"/>
      <c r="R25" s="275"/>
      <c r="S25" s="276"/>
      <c r="T25" s="273"/>
    </row>
    <row r="26" spans="1:34" s="1" customFormat="1" outlineLevel="1" x14ac:dyDescent="0.25">
      <c r="B26" s="7" t="s">
        <v>1303</v>
      </c>
      <c r="C26" s="35">
        <f>P25-P24</f>
        <v>0</v>
      </c>
      <c r="D26" s="7" t="s">
        <v>1490</v>
      </c>
      <c r="E26" s="7"/>
      <c r="F26" s="7"/>
      <c r="G26" s="7"/>
      <c r="H26" s="7"/>
      <c r="I26" s="7"/>
      <c r="J26" s="7"/>
      <c r="K26" s="7"/>
      <c r="L26" s="7"/>
    </row>
    <row r="27" spans="1:34" s="1" customFormat="1" outlineLevel="1" x14ac:dyDescent="0.25">
      <c r="B27" s="7" t="s">
        <v>1491</v>
      </c>
      <c r="C27" s="152">
        <f>9099500/C28</f>
        <v>121.32666666666667</v>
      </c>
      <c r="D27" s="7" t="s">
        <v>1238</v>
      </c>
      <c r="E27" s="7" t="s">
        <v>1492</v>
      </c>
      <c r="G27" s="7"/>
      <c r="H27" s="7"/>
      <c r="I27" s="7"/>
      <c r="J27" s="7"/>
      <c r="K27" s="7"/>
      <c r="L27" s="7"/>
    </row>
    <row r="28" spans="1:34" s="1" customFormat="1" outlineLevel="1" x14ac:dyDescent="0.25">
      <c r="B28" s="7" t="s">
        <v>1493</v>
      </c>
      <c r="C28" s="35">
        <v>75000</v>
      </c>
      <c r="D28" s="7" t="s">
        <v>1232</v>
      </c>
      <c r="E28" s="7"/>
      <c r="F28" s="7"/>
      <c r="G28" s="7"/>
      <c r="H28" s="7"/>
      <c r="I28" s="7"/>
      <c r="J28" s="7"/>
      <c r="K28" s="7"/>
      <c r="L28" s="7"/>
    </row>
    <row r="29" spans="1:34" s="1" customFormat="1" outlineLevel="1" x14ac:dyDescent="0.25">
      <c r="B29" s="7" t="s">
        <v>1494</v>
      </c>
      <c r="C29" s="35">
        <v>55</v>
      </c>
      <c r="D29" s="7" t="s">
        <v>656</v>
      </c>
      <c r="E29" s="7"/>
      <c r="F29" s="7"/>
      <c r="G29" s="7"/>
      <c r="H29" s="7"/>
      <c r="I29" s="7"/>
      <c r="J29" s="7"/>
      <c r="K29" s="7"/>
      <c r="L29" s="7"/>
    </row>
    <row r="30" spans="1:34" s="1" customFormat="1" outlineLevel="1" x14ac:dyDescent="0.25">
      <c r="B30" s="7" t="s">
        <v>1495</v>
      </c>
      <c r="C30" s="35">
        <v>140</v>
      </c>
      <c r="D30" s="170" t="s">
        <v>1310</v>
      </c>
      <c r="E30" s="7"/>
      <c r="F30" s="7"/>
      <c r="G30" s="7"/>
      <c r="H30" s="7"/>
      <c r="I30" s="7"/>
      <c r="J30" s="7"/>
      <c r="K30" s="7"/>
      <c r="L30" s="7"/>
    </row>
    <row r="31" spans="1:34" s="1" customFormat="1" outlineLevel="1" x14ac:dyDescent="0.25">
      <c r="B31" s="7" t="s">
        <v>1311</v>
      </c>
      <c r="C31" s="36">
        <v>1</v>
      </c>
      <c r="D31" s="7"/>
      <c r="E31" s="7"/>
      <c r="F31" s="7"/>
      <c r="G31" s="7"/>
      <c r="H31" s="7"/>
      <c r="I31" s="7"/>
      <c r="J31" s="7"/>
      <c r="K31" s="7"/>
      <c r="L31" s="7"/>
    </row>
    <row r="32" spans="1:34" s="1" customFormat="1" outlineLevel="1" x14ac:dyDescent="0.25">
      <c r="B32" s="7" t="s">
        <v>882</v>
      </c>
      <c r="C32" s="11">
        <f>C27/C12*C31</f>
        <v>11.029696969696969</v>
      </c>
      <c r="D32" s="7" t="s">
        <v>1238</v>
      </c>
      <c r="E32" s="7"/>
      <c r="F32" s="7"/>
      <c r="G32" s="7"/>
      <c r="H32" s="7"/>
      <c r="I32" s="7"/>
      <c r="J32" s="7"/>
      <c r="K32" s="7"/>
      <c r="L32" s="7"/>
    </row>
    <row r="33" spans="1:34" s="5" customFormat="1" outlineLevel="1" x14ac:dyDescent="0.25">
      <c r="A33" s="1"/>
      <c r="B33" s="7" t="s">
        <v>894</v>
      </c>
      <c r="C33" s="37">
        <v>12</v>
      </c>
      <c r="D33" s="7" t="s">
        <v>863</v>
      </c>
      <c r="E33" s="7"/>
      <c r="F33" s="7"/>
      <c r="G33" s="7"/>
      <c r="H33" s="7"/>
      <c r="I33" s="7"/>
      <c r="J33" s="7"/>
      <c r="K33" s="7"/>
      <c r="L33" s="7"/>
      <c r="M33" s="1"/>
      <c r="N33" s="1"/>
      <c r="O33" s="1"/>
      <c r="P33" s="1"/>
      <c r="Q33" s="1"/>
      <c r="R33" s="1"/>
      <c r="S33" s="1"/>
      <c r="T33" s="1"/>
      <c r="U33" s="1"/>
      <c r="V33" s="1"/>
      <c r="W33" s="1"/>
      <c r="X33" s="1"/>
      <c r="Y33" s="1"/>
      <c r="Z33" s="1"/>
      <c r="AA33" s="1"/>
      <c r="AB33" s="1"/>
      <c r="AC33" s="1"/>
      <c r="AD33" s="1"/>
      <c r="AE33" s="1"/>
      <c r="AF33" s="1"/>
      <c r="AG33" s="1"/>
      <c r="AH33" s="1"/>
    </row>
    <row r="34" spans="1:34" s="5" customFormat="1" outlineLevel="1" x14ac:dyDescent="0.25">
      <c r="A34" s="1"/>
      <c r="B34" s="7"/>
      <c r="C34" s="37"/>
      <c r="D34" s="7"/>
      <c r="E34" s="7"/>
      <c r="F34" s="7"/>
      <c r="G34" s="7"/>
      <c r="H34" s="7"/>
      <c r="I34" s="7"/>
      <c r="J34" s="7"/>
      <c r="K34" s="7"/>
      <c r="L34" s="7"/>
      <c r="M34" s="1"/>
      <c r="N34" s="1"/>
      <c r="O34" s="1"/>
      <c r="P34" s="1"/>
      <c r="Q34" s="1"/>
      <c r="R34" s="1"/>
      <c r="S34" s="1"/>
      <c r="T34" s="1"/>
      <c r="U34" s="1"/>
      <c r="V34" s="1"/>
      <c r="W34" s="1"/>
      <c r="X34" s="1"/>
      <c r="Y34" s="1"/>
      <c r="Z34" s="1"/>
      <c r="AA34" s="1"/>
      <c r="AB34" s="1"/>
      <c r="AC34" s="1"/>
      <c r="AD34" s="1"/>
      <c r="AE34" s="1"/>
      <c r="AF34" s="1"/>
      <c r="AG34" s="1"/>
      <c r="AH34" s="1"/>
    </row>
    <row r="35" spans="1:34" s="5" customFormat="1" outlineLevel="1" x14ac:dyDescent="0.25">
      <c r="A35" s="1"/>
      <c r="B35" s="7"/>
      <c r="C35" s="7"/>
      <c r="D35" s="7"/>
      <c r="E35" s="7"/>
      <c r="F35" s="7"/>
      <c r="G35" s="7"/>
      <c r="H35" s="7"/>
      <c r="I35" s="7"/>
      <c r="J35" s="7"/>
      <c r="K35" s="7"/>
      <c r="L35" s="7"/>
      <c r="M35" s="1"/>
      <c r="N35" s="1"/>
      <c r="O35" s="1"/>
      <c r="P35" s="1"/>
      <c r="Q35" s="1"/>
      <c r="R35" s="1"/>
      <c r="S35" s="1"/>
      <c r="T35" s="1"/>
      <c r="U35" s="1"/>
      <c r="V35" s="1"/>
      <c r="W35" s="1"/>
      <c r="X35" s="1"/>
      <c r="Y35" s="1"/>
      <c r="Z35" s="1"/>
      <c r="AA35" s="1"/>
      <c r="AB35" s="1"/>
      <c r="AC35" s="1"/>
      <c r="AD35" s="1"/>
      <c r="AE35" s="1"/>
      <c r="AF35" s="1"/>
      <c r="AG35" s="1"/>
      <c r="AH35" s="1"/>
    </row>
    <row r="36" spans="1:34" s="1" customFormat="1" outlineLevel="1" x14ac:dyDescent="0.25">
      <c r="B36" s="7" t="s">
        <v>1496</v>
      </c>
      <c r="C36" s="156">
        <v>0.05</v>
      </c>
      <c r="D36" s="7" t="s">
        <v>1497</v>
      </c>
      <c r="E36" s="7"/>
      <c r="F36" s="7"/>
      <c r="G36" s="7"/>
      <c r="H36" s="7"/>
      <c r="I36" s="7"/>
      <c r="J36" s="7"/>
      <c r="K36" s="7"/>
      <c r="L36" s="7"/>
    </row>
    <row r="37" spans="1:34" s="1" customFormat="1" ht="5.25" customHeight="1" outlineLevel="1" x14ac:dyDescent="0.25">
      <c r="D37" s="2"/>
    </row>
    <row r="38" spans="1:34" s="1" customFormat="1" ht="6.75" customHeight="1" outlineLevel="1" x14ac:dyDescent="0.25">
      <c r="B38" s="7"/>
      <c r="C38" s="7"/>
      <c r="D38" s="7"/>
      <c r="E38" s="7"/>
      <c r="F38" s="7"/>
      <c r="G38" s="7"/>
      <c r="H38" s="7"/>
      <c r="I38" s="7"/>
      <c r="J38" s="7"/>
      <c r="K38" s="7"/>
      <c r="L38" s="7"/>
    </row>
    <row r="39" spans="1:34" s="1" customFormat="1" outlineLevel="1" x14ac:dyDescent="0.25">
      <c r="B39" s="123" t="s">
        <v>1498</v>
      </c>
      <c r="C39" s="123"/>
      <c r="D39" s="123"/>
      <c r="E39" s="123"/>
      <c r="F39" s="123"/>
      <c r="G39" s="123"/>
      <c r="H39" s="123"/>
      <c r="I39" s="123"/>
      <c r="J39" s="123"/>
      <c r="K39" s="123"/>
      <c r="L39" s="123"/>
    </row>
    <row r="40" spans="1:34" s="1" customFormat="1" ht="5.25" customHeight="1" outlineLevel="1" x14ac:dyDescent="0.25">
      <c r="D40" s="2"/>
    </row>
    <row r="41" spans="1:34" s="1" customFormat="1" outlineLevel="1" x14ac:dyDescent="0.25">
      <c r="B41" s="7" t="str">
        <f>"Sõiduauto CO2 emissioon aastas ("&amp;C10&amp;")"</f>
        <v>Sõiduauto CO2 emissioon aastas (2030)</v>
      </c>
      <c r="C41" s="124">
        <f>13000/100*7/1000*SISENDID!D419</f>
        <v>2.19764545</v>
      </c>
      <c r="D41" s="7" t="s">
        <v>1499</v>
      </c>
      <c r="E41" s="7"/>
      <c r="F41" s="7"/>
      <c r="G41" s="7"/>
      <c r="H41" s="7"/>
      <c r="I41" s="7"/>
      <c r="J41" s="7"/>
      <c r="K41" s="7"/>
      <c r="L41" s="7"/>
    </row>
    <row r="42" spans="1:34" s="1" customFormat="1" outlineLevel="1" x14ac:dyDescent="0.25">
      <c r="B42" s="7" t="str">
        <f>"Sõiduauto CO2 emissioon aastas ("&amp;C11&amp;")"</f>
        <v>Sõiduauto CO2 emissioon aastas (2040)</v>
      </c>
      <c r="C42" s="124">
        <f>C41*(1+E42)</f>
        <v>1.538351815</v>
      </c>
      <c r="D42" s="7" t="s">
        <v>1499</v>
      </c>
      <c r="E42" s="165">
        <v>-0.3</v>
      </c>
      <c r="F42" s="7"/>
      <c r="G42" s="7"/>
      <c r="H42" s="7"/>
      <c r="I42" s="7"/>
      <c r="J42" s="7"/>
      <c r="K42" s="7"/>
      <c r="L42" s="7"/>
    </row>
    <row r="43" spans="1:34" s="1" customFormat="1" outlineLevel="1" x14ac:dyDescent="0.25">
      <c r="B43" s="7"/>
      <c r="C43" s="124"/>
      <c r="D43" s="7"/>
      <c r="E43" s="7"/>
      <c r="F43" s="7"/>
      <c r="G43" s="7"/>
      <c r="H43" s="7"/>
      <c r="I43" s="7"/>
      <c r="J43" s="7"/>
      <c r="K43" s="7"/>
      <c r="L43" s="7"/>
    </row>
    <row r="44" spans="1:34" s="1" customFormat="1" outlineLevel="1" x14ac:dyDescent="0.25">
      <c r="B44" s="7"/>
      <c r="C44" s="7"/>
      <c r="D44" s="7"/>
      <c r="E44" s="7"/>
      <c r="F44" s="7"/>
      <c r="G44" s="7"/>
      <c r="H44" s="7"/>
      <c r="I44" s="7"/>
      <c r="J44" s="7"/>
      <c r="K44" s="7"/>
      <c r="L44" s="7"/>
    </row>
    <row r="45" spans="1:34" s="1" customFormat="1" ht="16.5" customHeight="1" x14ac:dyDescent="0.25">
      <c r="B45" s="6"/>
      <c r="C45" s="6"/>
      <c r="D45" s="7"/>
      <c r="E45" s="7"/>
    </row>
    <row r="46" spans="1:34" x14ac:dyDescent="0.25">
      <c r="A46" s="1"/>
      <c r="B46" s="46" t="s">
        <v>895</v>
      </c>
      <c r="C46" s="46"/>
      <c r="D46" s="46"/>
      <c r="E46" s="46"/>
      <c r="F46" s="46"/>
      <c r="G46" s="46"/>
      <c r="H46" s="46"/>
      <c r="I46" s="46"/>
      <c r="J46" s="46"/>
      <c r="K46" s="46"/>
      <c r="L46" s="46"/>
      <c r="M46" s="1"/>
      <c r="N46" s="1"/>
      <c r="O46" s="1"/>
      <c r="P46" s="1"/>
      <c r="Q46" s="1"/>
      <c r="R46" s="1"/>
      <c r="S46" s="1"/>
      <c r="T46" s="1"/>
      <c r="U46" s="1"/>
      <c r="V46" s="1"/>
      <c r="W46" s="1"/>
      <c r="X46" s="1"/>
      <c r="Y46" s="1"/>
      <c r="Z46" s="1"/>
      <c r="AA46" s="1"/>
      <c r="AB46" s="1"/>
      <c r="AC46" s="1"/>
      <c r="AD46" s="1"/>
      <c r="AE46" s="1"/>
      <c r="AF46" s="1"/>
      <c r="AG46" s="1"/>
      <c r="AH46" s="1"/>
    </row>
    <row r="47" spans="1:34" s="1" customFormat="1" ht="9.75" customHeight="1" outlineLevel="1" x14ac:dyDescent="0.25"/>
    <row r="48" spans="1:34" s="1" customFormat="1" outlineLevel="1" x14ac:dyDescent="0.25">
      <c r="B48" s="123" t="s">
        <v>1500</v>
      </c>
      <c r="C48" s="123"/>
      <c r="D48" s="123"/>
      <c r="E48" s="123"/>
      <c r="F48" s="123"/>
      <c r="G48" s="123"/>
      <c r="H48" s="123"/>
      <c r="I48" s="123"/>
      <c r="J48" s="123"/>
      <c r="K48" s="123"/>
      <c r="L48" s="123"/>
    </row>
    <row r="49" spans="1:12" s="1" customFormat="1" outlineLevel="2" x14ac:dyDescent="0.25">
      <c r="B49" s="13"/>
      <c r="C49" s="2"/>
      <c r="D49" s="2"/>
    </row>
    <row r="50" spans="1:12" s="1" customFormat="1" ht="15.75" outlineLevel="2" thickBot="1" x14ac:dyDescent="0.3">
      <c r="A50" s="2"/>
      <c r="B50" s="49" t="s">
        <v>1501</v>
      </c>
      <c r="C50" s="50" t="s">
        <v>1502</v>
      </c>
      <c r="D50" s="12"/>
      <c r="E50" s="12"/>
      <c r="F50" s="12"/>
      <c r="G50" s="12"/>
      <c r="H50" s="12"/>
      <c r="I50" s="12"/>
      <c r="J50" s="12"/>
    </row>
    <row r="51" spans="1:12" s="1" customFormat="1" ht="16.5" customHeight="1" outlineLevel="2" thickBot="1" x14ac:dyDescent="0.3">
      <c r="A51" s="2">
        <v>1</v>
      </c>
      <c r="B51" s="133" t="s">
        <v>1503</v>
      </c>
      <c r="C51" s="101">
        <v>3</v>
      </c>
      <c r="D51" s="12"/>
      <c r="E51" s="12"/>
      <c r="F51" s="12"/>
      <c r="G51" s="12"/>
      <c r="H51" s="12"/>
      <c r="I51" s="12"/>
      <c r="J51" s="12"/>
    </row>
    <row r="52" spans="1:12" s="1" customFormat="1" ht="16.5" customHeight="1" outlineLevel="2" thickBot="1" x14ac:dyDescent="0.3">
      <c r="A52" s="2"/>
      <c r="B52" s="132" t="s">
        <v>1504</v>
      </c>
      <c r="C52" s="101">
        <v>10</v>
      </c>
      <c r="D52" s="12"/>
      <c r="E52" s="12"/>
      <c r="F52" s="12"/>
      <c r="G52" s="12"/>
      <c r="H52" s="12"/>
      <c r="I52" s="12"/>
      <c r="J52" s="12"/>
    </row>
    <row r="53" spans="1:12" s="1" customFormat="1" ht="8.25" customHeight="1" outlineLevel="2" thickBot="1" x14ac:dyDescent="0.3">
      <c r="A53" s="2">
        <v>189</v>
      </c>
      <c r="D53" s="12"/>
      <c r="E53" s="12"/>
      <c r="F53" s="12"/>
      <c r="G53" s="12"/>
      <c r="H53" s="12"/>
      <c r="I53" s="12"/>
      <c r="J53" s="12"/>
    </row>
    <row r="54" spans="1:12" s="1" customFormat="1" ht="16.5" customHeight="1" outlineLevel="2" thickBot="1" x14ac:dyDescent="0.3">
      <c r="B54" s="133" t="s">
        <v>1505</v>
      </c>
      <c r="C54" s="102" t="s">
        <v>1506</v>
      </c>
      <c r="D54" s="12"/>
      <c r="E54" s="12"/>
      <c r="F54" s="12"/>
      <c r="G54" s="12"/>
      <c r="H54" s="12"/>
      <c r="I54" s="12"/>
      <c r="J54" s="12"/>
    </row>
    <row r="55" spans="1:12" s="1" customFormat="1" ht="15.75" outlineLevel="2" thickBot="1" x14ac:dyDescent="0.3">
      <c r="A55" s="2"/>
      <c r="B55" s="132" t="s">
        <v>1507</v>
      </c>
      <c r="C55" s="101" t="s">
        <v>1506</v>
      </c>
      <c r="D55" s="12"/>
      <c r="E55" s="12"/>
      <c r="F55" s="12"/>
      <c r="G55" s="12"/>
      <c r="H55" s="12"/>
      <c r="I55" s="12"/>
      <c r="J55" s="12"/>
    </row>
    <row r="56" spans="1:12" s="1" customFormat="1" outlineLevel="1" x14ac:dyDescent="0.25">
      <c r="A56" s="2"/>
      <c r="B56" s="4"/>
      <c r="C56" s="10"/>
      <c r="D56" s="12"/>
      <c r="E56" s="12"/>
      <c r="F56" s="12"/>
      <c r="G56" s="12"/>
      <c r="H56" s="12"/>
      <c r="I56" s="12"/>
      <c r="J56" s="12"/>
    </row>
    <row r="57" spans="1:12" s="1" customFormat="1" outlineLevel="1" x14ac:dyDescent="0.25">
      <c r="B57" s="123" t="s">
        <v>896</v>
      </c>
      <c r="C57" s="123"/>
      <c r="D57" s="123"/>
      <c r="E57" s="123"/>
      <c r="F57" s="123"/>
      <c r="G57" s="123"/>
      <c r="H57" s="123"/>
      <c r="I57" s="123"/>
      <c r="J57" s="123"/>
      <c r="K57" s="123"/>
      <c r="L57" s="123"/>
    </row>
    <row r="58" spans="1:12" s="1" customFormat="1" ht="6.75" customHeight="1" outlineLevel="1" x14ac:dyDescent="0.25">
      <c r="B58" s="13"/>
      <c r="D58" s="43"/>
      <c r="E58" s="7"/>
    </row>
    <row r="59" spans="1:12" s="1" customFormat="1" outlineLevel="2" x14ac:dyDescent="0.25">
      <c r="B59" s="138" t="s">
        <v>1508</v>
      </c>
      <c r="C59" s="138" t="s">
        <v>1243</v>
      </c>
      <c r="D59" s="136">
        <f>SUMIF(D68:AR68,"&lt;2051",D72:AR72)/25</f>
        <v>970.61333333333312</v>
      </c>
      <c r="E59" s="7"/>
    </row>
    <row r="60" spans="1:12" s="1" customFormat="1" outlineLevel="2" x14ac:dyDescent="0.25">
      <c r="B60" s="138" t="s">
        <v>1509</v>
      </c>
      <c r="C60" s="138" t="s">
        <v>1243</v>
      </c>
      <c r="D60" s="136">
        <f>SUM(D72:AR72)</f>
        <v>24265.333333333328</v>
      </c>
      <c r="E60" s="7"/>
    </row>
    <row r="61" spans="1:12" s="1" customFormat="1" outlineLevel="2" x14ac:dyDescent="0.25">
      <c r="B61" s="138" t="s">
        <v>1510</v>
      </c>
      <c r="C61" s="138" t="s">
        <v>1243</v>
      </c>
      <c r="D61" s="136">
        <f>SUM(D77:AR77)</f>
        <v>36398</v>
      </c>
    </row>
    <row r="62" spans="1:12" s="1" customFormat="1" ht="18" outlineLevel="2" x14ac:dyDescent="0.35">
      <c r="B62" s="138" t="s">
        <v>1511</v>
      </c>
      <c r="C62" s="138" t="s">
        <v>1512</v>
      </c>
      <c r="D62" s="136">
        <f>SUMIF(D68:AR68,"&lt;2051",D80:AR80)/25</f>
        <v>0</v>
      </c>
      <c r="E62" s="7"/>
    </row>
    <row r="63" spans="1:12" s="1" customFormat="1" ht="15" customHeight="1" outlineLevel="2" x14ac:dyDescent="0.25">
      <c r="B63" s="138" t="s">
        <v>1513</v>
      </c>
      <c r="C63" s="138" t="s">
        <v>1514</v>
      </c>
      <c r="D63" s="137" t="e">
        <f>NPV($C$36,D77:AB77)/NPV(C36,D80:AB80)</f>
        <v>#DIV/0!</v>
      </c>
      <c r="E63" s="7"/>
    </row>
    <row r="64" spans="1:12" s="1" customFormat="1" outlineLevel="1" x14ac:dyDescent="0.25">
      <c r="B64" s="44"/>
      <c r="C64" s="45"/>
      <c r="D64" s="43"/>
      <c r="E64" s="7"/>
    </row>
    <row r="65" spans="1:48" s="1" customFormat="1" x14ac:dyDescent="0.25">
      <c r="B65" s="8"/>
      <c r="C65" s="9"/>
    </row>
    <row r="66" spans="1:48" x14ac:dyDescent="0.25">
      <c r="A66" s="1"/>
      <c r="B66" s="46" t="s">
        <v>913</v>
      </c>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row>
    <row r="67" spans="1:48" s="15" customFormat="1" ht="7.5" customHeight="1" outlineLevel="1" x14ac:dyDescent="0.25"/>
    <row r="68" spans="1:48" s="15" customFormat="1" ht="13.5" outlineLevel="1" x14ac:dyDescent="0.25">
      <c r="B68" s="141" t="s">
        <v>914</v>
      </c>
      <c r="C68" s="142"/>
      <c r="D68" s="141">
        <f>C13</f>
        <v>2026</v>
      </c>
      <c r="E68" s="141">
        <f>D68+1</f>
        <v>2027</v>
      </c>
      <c r="F68" s="141">
        <f t="shared" ref="F68:AV68" si="0">E68+1</f>
        <v>2028</v>
      </c>
      <c r="G68" s="141">
        <f t="shared" si="0"/>
        <v>2029</v>
      </c>
      <c r="H68" s="141">
        <f t="shared" si="0"/>
        <v>2030</v>
      </c>
      <c r="I68" s="141">
        <f t="shared" si="0"/>
        <v>2031</v>
      </c>
      <c r="J68" s="141">
        <f t="shared" si="0"/>
        <v>2032</v>
      </c>
      <c r="K68" s="141">
        <f t="shared" si="0"/>
        <v>2033</v>
      </c>
      <c r="L68" s="141">
        <f t="shared" si="0"/>
        <v>2034</v>
      </c>
      <c r="M68" s="141">
        <f t="shared" si="0"/>
        <v>2035</v>
      </c>
      <c r="N68" s="141">
        <f>M68+1</f>
        <v>2036</v>
      </c>
      <c r="O68" s="141">
        <f t="shared" si="0"/>
        <v>2037</v>
      </c>
      <c r="P68" s="141">
        <f t="shared" si="0"/>
        <v>2038</v>
      </c>
      <c r="Q68" s="141">
        <f t="shared" si="0"/>
        <v>2039</v>
      </c>
      <c r="R68" s="141">
        <f t="shared" si="0"/>
        <v>2040</v>
      </c>
      <c r="S68" s="141">
        <f>R68+1</f>
        <v>2041</v>
      </c>
      <c r="T68" s="141">
        <f>S68+1</f>
        <v>2042</v>
      </c>
      <c r="U68" s="141">
        <f>T68+1</f>
        <v>2043</v>
      </c>
      <c r="V68" s="141">
        <f t="shared" si="0"/>
        <v>2044</v>
      </c>
      <c r="W68" s="141">
        <f t="shared" si="0"/>
        <v>2045</v>
      </c>
      <c r="X68" s="141">
        <f t="shared" si="0"/>
        <v>2046</v>
      </c>
      <c r="Y68" s="141">
        <f t="shared" si="0"/>
        <v>2047</v>
      </c>
      <c r="Z68" s="141">
        <f t="shared" si="0"/>
        <v>2048</v>
      </c>
      <c r="AA68" s="141">
        <f t="shared" si="0"/>
        <v>2049</v>
      </c>
      <c r="AB68" s="141">
        <f t="shared" si="0"/>
        <v>2050</v>
      </c>
      <c r="AC68" s="141">
        <f t="shared" si="0"/>
        <v>2051</v>
      </c>
      <c r="AD68" s="141">
        <f t="shared" si="0"/>
        <v>2052</v>
      </c>
      <c r="AE68" s="141">
        <f t="shared" si="0"/>
        <v>2053</v>
      </c>
      <c r="AF68" s="141">
        <f t="shared" si="0"/>
        <v>2054</v>
      </c>
      <c r="AG68" s="141">
        <f t="shared" si="0"/>
        <v>2055</v>
      </c>
      <c r="AH68" s="141">
        <f t="shared" si="0"/>
        <v>2056</v>
      </c>
      <c r="AI68" s="141">
        <f t="shared" si="0"/>
        <v>2057</v>
      </c>
      <c r="AJ68" s="141">
        <f t="shared" si="0"/>
        <v>2058</v>
      </c>
      <c r="AK68" s="141">
        <f t="shared" si="0"/>
        <v>2059</v>
      </c>
      <c r="AL68" s="141">
        <f t="shared" si="0"/>
        <v>2060</v>
      </c>
      <c r="AM68" s="141">
        <f t="shared" si="0"/>
        <v>2061</v>
      </c>
      <c r="AN68" s="141">
        <f t="shared" si="0"/>
        <v>2062</v>
      </c>
      <c r="AO68" s="141">
        <f t="shared" si="0"/>
        <v>2063</v>
      </c>
      <c r="AP68" s="141">
        <f t="shared" si="0"/>
        <v>2064</v>
      </c>
      <c r="AQ68" s="141">
        <f t="shared" si="0"/>
        <v>2065</v>
      </c>
      <c r="AR68" s="141">
        <f t="shared" si="0"/>
        <v>2066</v>
      </c>
      <c r="AS68" s="141">
        <f t="shared" si="0"/>
        <v>2067</v>
      </c>
      <c r="AT68" s="141">
        <f t="shared" si="0"/>
        <v>2068</v>
      </c>
      <c r="AU68" s="141">
        <f t="shared" si="0"/>
        <v>2069</v>
      </c>
      <c r="AV68" s="141">
        <f t="shared" si="0"/>
        <v>2070</v>
      </c>
    </row>
    <row r="69" spans="1:48" s="15" customFormat="1" ht="13.5" outlineLevel="1" x14ac:dyDescent="0.25">
      <c r="B69" s="138" t="s">
        <v>1318</v>
      </c>
      <c r="C69" s="138" t="s">
        <v>1515</v>
      </c>
      <c r="D69" s="136">
        <f>IF(OR(D68&lt;$C$10,D68&gt;$C$11),0,$C$32)</f>
        <v>0</v>
      </c>
      <c r="E69" s="136">
        <f t="shared" ref="E69:AV69" si="1">IF(OR(E68&lt;$C$10,E68&gt;$C$11),0,$C$32)</f>
        <v>0</v>
      </c>
      <c r="F69" s="136">
        <f t="shared" si="1"/>
        <v>0</v>
      </c>
      <c r="G69" s="136">
        <f t="shared" si="1"/>
        <v>0</v>
      </c>
      <c r="H69" s="136">
        <f t="shared" si="1"/>
        <v>11.029696969696969</v>
      </c>
      <c r="I69" s="136">
        <f t="shared" si="1"/>
        <v>11.029696969696969</v>
      </c>
      <c r="J69" s="136">
        <f t="shared" si="1"/>
        <v>11.029696969696969</v>
      </c>
      <c r="K69" s="136">
        <f t="shared" si="1"/>
        <v>11.029696969696969</v>
      </c>
      <c r="L69" s="136">
        <f t="shared" si="1"/>
        <v>11.029696969696969</v>
      </c>
      <c r="M69" s="136">
        <f t="shared" si="1"/>
        <v>11.029696969696969</v>
      </c>
      <c r="N69" s="136">
        <f t="shared" si="1"/>
        <v>11.029696969696969</v>
      </c>
      <c r="O69" s="136">
        <f t="shared" si="1"/>
        <v>11.029696969696969</v>
      </c>
      <c r="P69" s="136">
        <f t="shared" si="1"/>
        <v>11.029696969696969</v>
      </c>
      <c r="Q69" s="136">
        <f t="shared" si="1"/>
        <v>11.029696969696969</v>
      </c>
      <c r="R69" s="136">
        <f t="shared" si="1"/>
        <v>11.029696969696969</v>
      </c>
      <c r="S69" s="136">
        <f t="shared" si="1"/>
        <v>0</v>
      </c>
      <c r="T69" s="136">
        <f t="shared" si="1"/>
        <v>0</v>
      </c>
      <c r="U69" s="136">
        <f t="shared" si="1"/>
        <v>0</v>
      </c>
      <c r="V69" s="136">
        <f t="shared" si="1"/>
        <v>0</v>
      </c>
      <c r="W69" s="136">
        <f t="shared" si="1"/>
        <v>0</v>
      </c>
      <c r="X69" s="136">
        <f t="shared" si="1"/>
        <v>0</v>
      </c>
      <c r="Y69" s="136">
        <f t="shared" si="1"/>
        <v>0</v>
      </c>
      <c r="Z69" s="136">
        <f t="shared" si="1"/>
        <v>0</v>
      </c>
      <c r="AA69" s="136">
        <f t="shared" si="1"/>
        <v>0</v>
      </c>
      <c r="AB69" s="136">
        <f t="shared" si="1"/>
        <v>0</v>
      </c>
      <c r="AC69" s="136">
        <f t="shared" si="1"/>
        <v>0</v>
      </c>
      <c r="AD69" s="136">
        <f t="shared" si="1"/>
        <v>0</v>
      </c>
      <c r="AE69" s="136">
        <f t="shared" si="1"/>
        <v>0</v>
      </c>
      <c r="AF69" s="136">
        <f t="shared" si="1"/>
        <v>0</v>
      </c>
      <c r="AG69" s="136">
        <f t="shared" si="1"/>
        <v>0</v>
      </c>
      <c r="AH69" s="136">
        <f t="shared" si="1"/>
        <v>0</v>
      </c>
      <c r="AI69" s="136">
        <f t="shared" si="1"/>
        <v>0</v>
      </c>
      <c r="AJ69" s="136">
        <f t="shared" si="1"/>
        <v>0</v>
      </c>
      <c r="AK69" s="136">
        <f t="shared" si="1"/>
        <v>0</v>
      </c>
      <c r="AL69" s="136">
        <f t="shared" si="1"/>
        <v>0</v>
      </c>
      <c r="AM69" s="136">
        <f t="shared" si="1"/>
        <v>0</v>
      </c>
      <c r="AN69" s="136">
        <f t="shared" si="1"/>
        <v>0</v>
      </c>
      <c r="AO69" s="136">
        <f t="shared" si="1"/>
        <v>0</v>
      </c>
      <c r="AP69" s="136">
        <f t="shared" si="1"/>
        <v>0</v>
      </c>
      <c r="AQ69" s="136">
        <f t="shared" si="1"/>
        <v>0</v>
      </c>
      <c r="AR69" s="136">
        <f t="shared" si="1"/>
        <v>0</v>
      </c>
      <c r="AS69" s="136">
        <f t="shared" si="1"/>
        <v>0</v>
      </c>
      <c r="AT69" s="136">
        <f t="shared" si="1"/>
        <v>0</v>
      </c>
      <c r="AU69" s="136">
        <f t="shared" si="1"/>
        <v>0</v>
      </c>
      <c r="AV69" s="136">
        <f t="shared" si="1"/>
        <v>0</v>
      </c>
    </row>
    <row r="70" spans="1:48" s="15" customFormat="1" ht="13.5" outlineLevel="1" x14ac:dyDescent="0.25">
      <c r="B70" s="138" t="s">
        <v>1320</v>
      </c>
      <c r="C70" s="138" t="s">
        <v>1515</v>
      </c>
      <c r="D70" s="136">
        <f>D69</f>
        <v>0</v>
      </c>
      <c r="E70" s="136">
        <f t="shared" ref="E70:AV70" si="2">D70+E69-IF(ISERROR(HLOOKUP(E68-$C$33,$D$68:$AH$69,2,FALSE)),0,HLOOKUP(E68-$C$33,$D$68:$AH$69,2,FALSE))</f>
        <v>0</v>
      </c>
      <c r="F70" s="136">
        <f t="shared" si="2"/>
        <v>0</v>
      </c>
      <c r="G70" s="136">
        <f t="shared" si="2"/>
        <v>0</v>
      </c>
      <c r="H70" s="136">
        <f t="shared" si="2"/>
        <v>11.029696969696969</v>
      </c>
      <c r="I70" s="136">
        <f t="shared" si="2"/>
        <v>22.059393939393939</v>
      </c>
      <c r="J70" s="136">
        <f t="shared" si="2"/>
        <v>33.089090909090906</v>
      </c>
      <c r="K70" s="136">
        <f t="shared" si="2"/>
        <v>44.118787878787877</v>
      </c>
      <c r="L70" s="136">
        <f t="shared" si="2"/>
        <v>55.148484848484848</v>
      </c>
      <c r="M70" s="136">
        <f t="shared" si="2"/>
        <v>66.178181818181812</v>
      </c>
      <c r="N70" s="136">
        <f t="shared" si="2"/>
        <v>77.207878787878784</v>
      </c>
      <c r="O70" s="136">
        <f t="shared" si="2"/>
        <v>88.237575757575755</v>
      </c>
      <c r="P70" s="136">
        <f t="shared" si="2"/>
        <v>99.267272727272726</v>
      </c>
      <c r="Q70" s="136">
        <f t="shared" si="2"/>
        <v>110.2969696969697</v>
      </c>
      <c r="R70" s="136">
        <f t="shared" si="2"/>
        <v>121.32666666666667</v>
      </c>
      <c r="S70" s="136">
        <f t="shared" si="2"/>
        <v>121.32666666666667</v>
      </c>
      <c r="T70" s="136">
        <f t="shared" si="2"/>
        <v>110.2969696969697</v>
      </c>
      <c r="U70" s="136">
        <f t="shared" si="2"/>
        <v>99.267272727272726</v>
      </c>
      <c r="V70" s="136">
        <f t="shared" si="2"/>
        <v>88.237575757575755</v>
      </c>
      <c r="W70" s="136">
        <f t="shared" si="2"/>
        <v>77.207878787878784</v>
      </c>
      <c r="X70" s="136">
        <f t="shared" si="2"/>
        <v>66.178181818181812</v>
      </c>
      <c r="Y70" s="136">
        <f t="shared" si="2"/>
        <v>55.148484848484841</v>
      </c>
      <c r="Z70" s="136">
        <f t="shared" si="2"/>
        <v>44.11878787878787</v>
      </c>
      <c r="AA70" s="136">
        <f t="shared" si="2"/>
        <v>33.089090909090899</v>
      </c>
      <c r="AB70" s="136">
        <f t="shared" si="2"/>
        <v>22.059393939393928</v>
      </c>
      <c r="AC70" s="136">
        <f t="shared" si="2"/>
        <v>11.029696969696959</v>
      </c>
      <c r="AD70" s="136">
        <f t="shared" si="2"/>
        <v>0</v>
      </c>
      <c r="AE70" s="136">
        <f t="shared" si="2"/>
        <v>0</v>
      </c>
      <c r="AF70" s="136">
        <f t="shared" si="2"/>
        <v>0</v>
      </c>
      <c r="AG70" s="136">
        <f t="shared" si="2"/>
        <v>0</v>
      </c>
      <c r="AH70" s="136">
        <f t="shared" si="2"/>
        <v>0</v>
      </c>
      <c r="AI70" s="136">
        <f t="shared" si="2"/>
        <v>0</v>
      </c>
      <c r="AJ70" s="136">
        <f t="shared" si="2"/>
        <v>0</v>
      </c>
      <c r="AK70" s="136">
        <f t="shared" si="2"/>
        <v>0</v>
      </c>
      <c r="AL70" s="136">
        <f t="shared" si="2"/>
        <v>0</v>
      </c>
      <c r="AM70" s="136">
        <f t="shared" si="2"/>
        <v>0</v>
      </c>
      <c r="AN70" s="136">
        <f t="shared" si="2"/>
        <v>0</v>
      </c>
      <c r="AO70" s="136">
        <f t="shared" si="2"/>
        <v>0</v>
      </c>
      <c r="AP70" s="136">
        <f t="shared" si="2"/>
        <v>0</v>
      </c>
      <c r="AQ70" s="136">
        <f t="shared" si="2"/>
        <v>0</v>
      </c>
      <c r="AR70" s="136">
        <f t="shared" si="2"/>
        <v>0</v>
      </c>
      <c r="AS70" s="136">
        <f t="shared" si="2"/>
        <v>0</v>
      </c>
      <c r="AT70" s="136">
        <f t="shared" si="2"/>
        <v>0</v>
      </c>
      <c r="AU70" s="136">
        <f t="shared" si="2"/>
        <v>0</v>
      </c>
      <c r="AV70" s="136">
        <f t="shared" si="2"/>
        <v>0</v>
      </c>
    </row>
    <row r="71" spans="1:48" s="15" customFormat="1" ht="13.5" outlineLevel="1" x14ac:dyDescent="0.25"/>
    <row r="72" spans="1:48" s="15" customFormat="1" ht="13.5" outlineLevel="1" x14ac:dyDescent="0.25">
      <c r="B72" s="138" t="s">
        <v>1321</v>
      </c>
      <c r="C72" s="138" t="s">
        <v>1243</v>
      </c>
      <c r="D72" s="136">
        <f t="shared" ref="D72:AV72" si="3">D69*$C$23/1000</f>
        <v>0</v>
      </c>
      <c r="E72" s="136">
        <f t="shared" si="3"/>
        <v>0</v>
      </c>
      <c r="F72" s="136">
        <f t="shared" si="3"/>
        <v>0</v>
      </c>
      <c r="G72" s="136">
        <f t="shared" si="3"/>
        <v>0</v>
      </c>
      <c r="H72" s="136">
        <f t="shared" si="3"/>
        <v>2205.939393939394</v>
      </c>
      <c r="I72" s="136">
        <f t="shared" si="3"/>
        <v>2205.939393939394</v>
      </c>
      <c r="J72" s="136">
        <f t="shared" si="3"/>
        <v>2205.939393939394</v>
      </c>
      <c r="K72" s="136">
        <f t="shared" si="3"/>
        <v>2205.939393939394</v>
      </c>
      <c r="L72" s="136">
        <f t="shared" si="3"/>
        <v>2205.939393939394</v>
      </c>
      <c r="M72" s="136">
        <f t="shared" si="3"/>
        <v>2205.939393939394</v>
      </c>
      <c r="N72" s="136">
        <f t="shared" si="3"/>
        <v>2205.939393939394</v>
      </c>
      <c r="O72" s="136">
        <f t="shared" si="3"/>
        <v>2205.939393939394</v>
      </c>
      <c r="P72" s="136">
        <f t="shared" si="3"/>
        <v>2205.939393939394</v>
      </c>
      <c r="Q72" s="136">
        <f t="shared" si="3"/>
        <v>2205.939393939394</v>
      </c>
      <c r="R72" s="136">
        <f t="shared" si="3"/>
        <v>2205.939393939394</v>
      </c>
      <c r="S72" s="136">
        <f t="shared" si="3"/>
        <v>0</v>
      </c>
      <c r="T72" s="136">
        <f t="shared" si="3"/>
        <v>0</v>
      </c>
      <c r="U72" s="136">
        <f t="shared" si="3"/>
        <v>0</v>
      </c>
      <c r="V72" s="136">
        <f t="shared" si="3"/>
        <v>0</v>
      </c>
      <c r="W72" s="136">
        <f t="shared" si="3"/>
        <v>0</v>
      </c>
      <c r="X72" s="136">
        <f t="shared" si="3"/>
        <v>0</v>
      </c>
      <c r="Y72" s="136">
        <f t="shared" si="3"/>
        <v>0</v>
      </c>
      <c r="Z72" s="136">
        <f t="shared" si="3"/>
        <v>0</v>
      </c>
      <c r="AA72" s="136">
        <f t="shared" si="3"/>
        <v>0</v>
      </c>
      <c r="AB72" s="136">
        <f t="shared" si="3"/>
        <v>0</v>
      </c>
      <c r="AC72" s="136">
        <f t="shared" si="3"/>
        <v>0</v>
      </c>
      <c r="AD72" s="136">
        <f t="shared" si="3"/>
        <v>0</v>
      </c>
      <c r="AE72" s="136">
        <f t="shared" si="3"/>
        <v>0</v>
      </c>
      <c r="AF72" s="136">
        <f t="shared" si="3"/>
        <v>0</v>
      </c>
      <c r="AG72" s="136">
        <f t="shared" si="3"/>
        <v>0</v>
      </c>
      <c r="AH72" s="136">
        <f t="shared" si="3"/>
        <v>0</v>
      </c>
      <c r="AI72" s="136">
        <f t="shared" si="3"/>
        <v>0</v>
      </c>
      <c r="AJ72" s="136">
        <f t="shared" si="3"/>
        <v>0</v>
      </c>
      <c r="AK72" s="136">
        <f t="shared" si="3"/>
        <v>0</v>
      </c>
      <c r="AL72" s="136">
        <f t="shared" si="3"/>
        <v>0</v>
      </c>
      <c r="AM72" s="136">
        <f t="shared" si="3"/>
        <v>0</v>
      </c>
      <c r="AN72" s="136">
        <f t="shared" si="3"/>
        <v>0</v>
      </c>
      <c r="AO72" s="136">
        <f t="shared" si="3"/>
        <v>0</v>
      </c>
      <c r="AP72" s="136">
        <f t="shared" si="3"/>
        <v>0</v>
      </c>
      <c r="AQ72" s="136">
        <f t="shared" si="3"/>
        <v>0</v>
      </c>
      <c r="AR72" s="136">
        <f t="shared" si="3"/>
        <v>0</v>
      </c>
      <c r="AS72" s="136">
        <f t="shared" si="3"/>
        <v>0</v>
      </c>
      <c r="AT72" s="136">
        <f t="shared" si="3"/>
        <v>0</v>
      </c>
      <c r="AU72" s="136">
        <f t="shared" si="3"/>
        <v>0</v>
      </c>
      <c r="AV72" s="136">
        <f t="shared" si="3"/>
        <v>0</v>
      </c>
    </row>
    <row r="73" spans="1:48" s="15" customFormat="1" ht="13.5" outlineLevel="1" x14ac:dyDescent="0.25">
      <c r="B73" s="138" t="s">
        <v>1322</v>
      </c>
      <c r="C73" s="138" t="s">
        <v>1243</v>
      </c>
      <c r="D73" s="136">
        <f t="shared" ref="D73:AV73" si="4">D69*$C$24/1000</f>
        <v>0</v>
      </c>
      <c r="E73" s="136">
        <f t="shared" si="4"/>
        <v>0</v>
      </c>
      <c r="F73" s="136">
        <f t="shared" si="4"/>
        <v>0</v>
      </c>
      <c r="G73" s="136">
        <f t="shared" si="4"/>
        <v>0</v>
      </c>
      <c r="H73" s="136">
        <f t="shared" si="4"/>
        <v>1102.969696969697</v>
      </c>
      <c r="I73" s="136">
        <f t="shared" si="4"/>
        <v>1102.969696969697</v>
      </c>
      <c r="J73" s="136">
        <f t="shared" si="4"/>
        <v>1102.969696969697</v>
      </c>
      <c r="K73" s="136">
        <f t="shared" si="4"/>
        <v>1102.969696969697</v>
      </c>
      <c r="L73" s="136">
        <f t="shared" si="4"/>
        <v>1102.969696969697</v>
      </c>
      <c r="M73" s="136">
        <f t="shared" si="4"/>
        <v>1102.969696969697</v>
      </c>
      <c r="N73" s="136">
        <f t="shared" si="4"/>
        <v>1102.969696969697</v>
      </c>
      <c r="O73" s="136">
        <f t="shared" si="4"/>
        <v>1102.969696969697</v>
      </c>
      <c r="P73" s="136">
        <f t="shared" si="4"/>
        <v>1102.969696969697</v>
      </c>
      <c r="Q73" s="136">
        <f t="shared" si="4"/>
        <v>1102.969696969697</v>
      </c>
      <c r="R73" s="136">
        <f t="shared" si="4"/>
        <v>1102.969696969697</v>
      </c>
      <c r="S73" s="136">
        <f t="shared" si="4"/>
        <v>0</v>
      </c>
      <c r="T73" s="136">
        <f t="shared" si="4"/>
        <v>0</v>
      </c>
      <c r="U73" s="136">
        <f t="shared" si="4"/>
        <v>0</v>
      </c>
      <c r="V73" s="136">
        <f t="shared" si="4"/>
        <v>0</v>
      </c>
      <c r="W73" s="136">
        <f t="shared" si="4"/>
        <v>0</v>
      </c>
      <c r="X73" s="136">
        <f t="shared" si="4"/>
        <v>0</v>
      </c>
      <c r="Y73" s="136">
        <f t="shared" si="4"/>
        <v>0</v>
      </c>
      <c r="Z73" s="136">
        <f t="shared" si="4"/>
        <v>0</v>
      </c>
      <c r="AA73" s="136">
        <f t="shared" si="4"/>
        <v>0</v>
      </c>
      <c r="AB73" s="136">
        <f t="shared" si="4"/>
        <v>0</v>
      </c>
      <c r="AC73" s="136">
        <f t="shared" si="4"/>
        <v>0</v>
      </c>
      <c r="AD73" s="136">
        <f t="shared" si="4"/>
        <v>0</v>
      </c>
      <c r="AE73" s="136">
        <f t="shared" si="4"/>
        <v>0</v>
      </c>
      <c r="AF73" s="136">
        <f t="shared" si="4"/>
        <v>0</v>
      </c>
      <c r="AG73" s="136">
        <f t="shared" si="4"/>
        <v>0</v>
      </c>
      <c r="AH73" s="136">
        <f t="shared" si="4"/>
        <v>0</v>
      </c>
      <c r="AI73" s="136">
        <f t="shared" si="4"/>
        <v>0</v>
      </c>
      <c r="AJ73" s="136">
        <f t="shared" si="4"/>
        <v>0</v>
      </c>
      <c r="AK73" s="136">
        <f t="shared" si="4"/>
        <v>0</v>
      </c>
      <c r="AL73" s="136">
        <f t="shared" si="4"/>
        <v>0</v>
      </c>
      <c r="AM73" s="136">
        <f t="shared" si="4"/>
        <v>0</v>
      </c>
      <c r="AN73" s="136">
        <f t="shared" si="4"/>
        <v>0</v>
      </c>
      <c r="AO73" s="136">
        <f t="shared" si="4"/>
        <v>0</v>
      </c>
      <c r="AP73" s="136">
        <f t="shared" si="4"/>
        <v>0</v>
      </c>
      <c r="AQ73" s="136">
        <f t="shared" si="4"/>
        <v>0</v>
      </c>
      <c r="AR73" s="136">
        <f t="shared" si="4"/>
        <v>0</v>
      </c>
      <c r="AS73" s="136">
        <f t="shared" si="4"/>
        <v>0</v>
      </c>
      <c r="AT73" s="136">
        <f t="shared" si="4"/>
        <v>0</v>
      </c>
      <c r="AU73" s="136">
        <f t="shared" si="4"/>
        <v>0</v>
      </c>
      <c r="AV73" s="136">
        <f t="shared" si="4"/>
        <v>0</v>
      </c>
    </row>
    <row r="74" spans="1:48" s="15" customFormat="1" ht="13.5" outlineLevel="1" x14ac:dyDescent="0.25">
      <c r="B74" s="138" t="s">
        <v>1323</v>
      </c>
      <c r="C74" s="138" t="s">
        <v>1243</v>
      </c>
      <c r="D74" s="136">
        <f>D70*$C$25/1000</f>
        <v>0</v>
      </c>
      <c r="E74" s="136">
        <f t="shared" ref="E74:AV74" si="5">E70*$C$25/1000</f>
        <v>0</v>
      </c>
      <c r="F74" s="136">
        <f t="shared" si="5"/>
        <v>0</v>
      </c>
      <c r="G74" s="136">
        <f t="shared" si="5"/>
        <v>0</v>
      </c>
      <c r="H74" s="136">
        <f t="shared" si="5"/>
        <v>0</v>
      </c>
      <c r="I74" s="136">
        <f t="shared" si="5"/>
        <v>0</v>
      </c>
      <c r="J74" s="136">
        <f t="shared" si="5"/>
        <v>0</v>
      </c>
      <c r="K74" s="136">
        <f t="shared" si="5"/>
        <v>0</v>
      </c>
      <c r="L74" s="136">
        <f t="shared" si="5"/>
        <v>0</v>
      </c>
      <c r="M74" s="136">
        <f t="shared" si="5"/>
        <v>0</v>
      </c>
      <c r="N74" s="136">
        <f t="shared" si="5"/>
        <v>0</v>
      </c>
      <c r="O74" s="136">
        <f t="shared" si="5"/>
        <v>0</v>
      </c>
      <c r="P74" s="136">
        <f t="shared" si="5"/>
        <v>0</v>
      </c>
      <c r="Q74" s="136">
        <f t="shared" si="5"/>
        <v>0</v>
      </c>
      <c r="R74" s="136">
        <f t="shared" si="5"/>
        <v>0</v>
      </c>
      <c r="S74" s="136">
        <f t="shared" si="5"/>
        <v>0</v>
      </c>
      <c r="T74" s="136">
        <f t="shared" si="5"/>
        <v>0</v>
      </c>
      <c r="U74" s="136">
        <f t="shared" si="5"/>
        <v>0</v>
      </c>
      <c r="V74" s="136">
        <f t="shared" si="5"/>
        <v>0</v>
      </c>
      <c r="W74" s="136">
        <f t="shared" si="5"/>
        <v>0</v>
      </c>
      <c r="X74" s="136">
        <f t="shared" si="5"/>
        <v>0</v>
      </c>
      <c r="Y74" s="136">
        <f t="shared" si="5"/>
        <v>0</v>
      </c>
      <c r="Z74" s="136">
        <f t="shared" si="5"/>
        <v>0</v>
      </c>
      <c r="AA74" s="136">
        <f t="shared" si="5"/>
        <v>0</v>
      </c>
      <c r="AB74" s="136">
        <f t="shared" si="5"/>
        <v>0</v>
      </c>
      <c r="AC74" s="136">
        <f t="shared" si="5"/>
        <v>0</v>
      </c>
      <c r="AD74" s="136">
        <f t="shared" si="5"/>
        <v>0</v>
      </c>
      <c r="AE74" s="136">
        <f t="shared" si="5"/>
        <v>0</v>
      </c>
      <c r="AF74" s="136">
        <f t="shared" si="5"/>
        <v>0</v>
      </c>
      <c r="AG74" s="136">
        <f t="shared" si="5"/>
        <v>0</v>
      </c>
      <c r="AH74" s="136">
        <f t="shared" si="5"/>
        <v>0</v>
      </c>
      <c r="AI74" s="136">
        <f t="shared" si="5"/>
        <v>0</v>
      </c>
      <c r="AJ74" s="136">
        <f t="shared" si="5"/>
        <v>0</v>
      </c>
      <c r="AK74" s="136">
        <f t="shared" si="5"/>
        <v>0</v>
      </c>
      <c r="AL74" s="136">
        <f t="shared" si="5"/>
        <v>0</v>
      </c>
      <c r="AM74" s="136">
        <f t="shared" si="5"/>
        <v>0</v>
      </c>
      <c r="AN74" s="136">
        <f t="shared" si="5"/>
        <v>0</v>
      </c>
      <c r="AO74" s="136">
        <f t="shared" si="5"/>
        <v>0</v>
      </c>
      <c r="AP74" s="136">
        <f t="shared" si="5"/>
        <v>0</v>
      </c>
      <c r="AQ74" s="136">
        <f t="shared" si="5"/>
        <v>0</v>
      </c>
      <c r="AR74" s="136">
        <f t="shared" si="5"/>
        <v>0</v>
      </c>
      <c r="AS74" s="136">
        <f t="shared" si="5"/>
        <v>0</v>
      </c>
      <c r="AT74" s="136">
        <f t="shared" si="5"/>
        <v>0</v>
      </c>
      <c r="AU74" s="136">
        <f t="shared" si="5"/>
        <v>0</v>
      </c>
      <c r="AV74" s="136">
        <f t="shared" si="5"/>
        <v>0</v>
      </c>
    </row>
    <row r="75" spans="1:48" s="15" customFormat="1" ht="13.5" outlineLevel="1" x14ac:dyDescent="0.25">
      <c r="B75" s="138" t="s">
        <v>1324</v>
      </c>
      <c r="C75" s="138" t="s">
        <v>1243</v>
      </c>
      <c r="D75" s="136">
        <f>D70*$C$26/1000</f>
        <v>0</v>
      </c>
      <c r="E75" s="136">
        <f t="shared" ref="E75:AV75" si="6">E70*$C$26/1000</f>
        <v>0</v>
      </c>
      <c r="F75" s="136">
        <f t="shared" si="6"/>
        <v>0</v>
      </c>
      <c r="G75" s="136">
        <f t="shared" si="6"/>
        <v>0</v>
      </c>
      <c r="H75" s="136">
        <f t="shared" si="6"/>
        <v>0</v>
      </c>
      <c r="I75" s="136">
        <f t="shared" si="6"/>
        <v>0</v>
      </c>
      <c r="J75" s="136">
        <f t="shared" si="6"/>
        <v>0</v>
      </c>
      <c r="K75" s="136">
        <f t="shared" si="6"/>
        <v>0</v>
      </c>
      <c r="L75" s="136">
        <f t="shared" si="6"/>
        <v>0</v>
      </c>
      <c r="M75" s="136">
        <f t="shared" si="6"/>
        <v>0</v>
      </c>
      <c r="N75" s="136">
        <f t="shared" si="6"/>
        <v>0</v>
      </c>
      <c r="O75" s="136">
        <f t="shared" si="6"/>
        <v>0</v>
      </c>
      <c r="P75" s="136">
        <f t="shared" si="6"/>
        <v>0</v>
      </c>
      <c r="Q75" s="136">
        <f t="shared" si="6"/>
        <v>0</v>
      </c>
      <c r="R75" s="136">
        <f t="shared" si="6"/>
        <v>0</v>
      </c>
      <c r="S75" s="136">
        <f t="shared" si="6"/>
        <v>0</v>
      </c>
      <c r="T75" s="136">
        <f t="shared" si="6"/>
        <v>0</v>
      </c>
      <c r="U75" s="136">
        <f t="shared" si="6"/>
        <v>0</v>
      </c>
      <c r="V75" s="136">
        <f t="shared" si="6"/>
        <v>0</v>
      </c>
      <c r="W75" s="136">
        <f t="shared" si="6"/>
        <v>0</v>
      </c>
      <c r="X75" s="136">
        <f t="shared" si="6"/>
        <v>0</v>
      </c>
      <c r="Y75" s="136">
        <f t="shared" si="6"/>
        <v>0</v>
      </c>
      <c r="Z75" s="136">
        <f t="shared" si="6"/>
        <v>0</v>
      </c>
      <c r="AA75" s="136">
        <f t="shared" si="6"/>
        <v>0</v>
      </c>
      <c r="AB75" s="136">
        <f t="shared" si="6"/>
        <v>0</v>
      </c>
      <c r="AC75" s="136">
        <f t="shared" si="6"/>
        <v>0</v>
      </c>
      <c r="AD75" s="136">
        <f t="shared" si="6"/>
        <v>0</v>
      </c>
      <c r="AE75" s="136">
        <f t="shared" si="6"/>
        <v>0</v>
      </c>
      <c r="AF75" s="136">
        <f t="shared" si="6"/>
        <v>0</v>
      </c>
      <c r="AG75" s="136">
        <f t="shared" si="6"/>
        <v>0</v>
      </c>
      <c r="AH75" s="136">
        <f t="shared" si="6"/>
        <v>0</v>
      </c>
      <c r="AI75" s="136">
        <f t="shared" si="6"/>
        <v>0</v>
      </c>
      <c r="AJ75" s="136">
        <f t="shared" si="6"/>
        <v>0</v>
      </c>
      <c r="AK75" s="136">
        <f t="shared" si="6"/>
        <v>0</v>
      </c>
      <c r="AL75" s="136">
        <f t="shared" si="6"/>
        <v>0</v>
      </c>
      <c r="AM75" s="136">
        <f t="shared" si="6"/>
        <v>0</v>
      </c>
      <c r="AN75" s="136">
        <f t="shared" si="6"/>
        <v>0</v>
      </c>
      <c r="AO75" s="136">
        <f t="shared" si="6"/>
        <v>0</v>
      </c>
      <c r="AP75" s="136">
        <f t="shared" si="6"/>
        <v>0</v>
      </c>
      <c r="AQ75" s="136">
        <f t="shared" si="6"/>
        <v>0</v>
      </c>
      <c r="AR75" s="136">
        <f t="shared" si="6"/>
        <v>0</v>
      </c>
      <c r="AS75" s="136">
        <f t="shared" si="6"/>
        <v>0</v>
      </c>
      <c r="AT75" s="136">
        <f t="shared" si="6"/>
        <v>0</v>
      </c>
      <c r="AU75" s="136">
        <f t="shared" si="6"/>
        <v>0</v>
      </c>
      <c r="AV75" s="136">
        <f t="shared" si="6"/>
        <v>0</v>
      </c>
    </row>
    <row r="76" spans="1:48" s="15" customFormat="1" ht="4.5" customHeight="1" outlineLevel="1" x14ac:dyDescent="0.25">
      <c r="B76" s="159"/>
      <c r="C76" s="159"/>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row>
    <row r="77" spans="1:48" s="39" customFormat="1" ht="12" customHeight="1" outlineLevel="1" x14ac:dyDescent="0.25">
      <c r="B77" s="157" t="s">
        <v>1252</v>
      </c>
      <c r="C77" s="157" t="s">
        <v>1243</v>
      </c>
      <c r="D77" s="158">
        <f t="shared" ref="D77:AR77" si="7">SUM(D72:D76)</f>
        <v>0</v>
      </c>
      <c r="E77" s="158">
        <f t="shared" si="7"/>
        <v>0</v>
      </c>
      <c r="F77" s="158">
        <f t="shared" si="7"/>
        <v>0</v>
      </c>
      <c r="G77" s="158">
        <f t="shared" si="7"/>
        <v>0</v>
      </c>
      <c r="H77" s="158">
        <f t="shared" si="7"/>
        <v>3308.909090909091</v>
      </c>
      <c r="I77" s="158">
        <f t="shared" si="7"/>
        <v>3308.909090909091</v>
      </c>
      <c r="J77" s="158">
        <f t="shared" si="7"/>
        <v>3308.909090909091</v>
      </c>
      <c r="K77" s="158">
        <f t="shared" si="7"/>
        <v>3308.909090909091</v>
      </c>
      <c r="L77" s="158">
        <f t="shared" si="7"/>
        <v>3308.909090909091</v>
      </c>
      <c r="M77" s="158">
        <f t="shared" si="7"/>
        <v>3308.909090909091</v>
      </c>
      <c r="N77" s="158">
        <f t="shared" si="7"/>
        <v>3308.909090909091</v>
      </c>
      <c r="O77" s="158">
        <f t="shared" si="7"/>
        <v>3308.909090909091</v>
      </c>
      <c r="P77" s="158">
        <f t="shared" si="7"/>
        <v>3308.909090909091</v>
      </c>
      <c r="Q77" s="158">
        <f t="shared" si="7"/>
        <v>3308.909090909091</v>
      </c>
      <c r="R77" s="158">
        <f t="shared" si="7"/>
        <v>3308.909090909091</v>
      </c>
      <c r="S77" s="158">
        <f t="shared" si="7"/>
        <v>0</v>
      </c>
      <c r="T77" s="158">
        <f t="shared" si="7"/>
        <v>0</v>
      </c>
      <c r="U77" s="158">
        <f t="shared" si="7"/>
        <v>0</v>
      </c>
      <c r="V77" s="158">
        <f t="shared" si="7"/>
        <v>0</v>
      </c>
      <c r="W77" s="158">
        <f t="shared" si="7"/>
        <v>0</v>
      </c>
      <c r="X77" s="158">
        <f t="shared" si="7"/>
        <v>0</v>
      </c>
      <c r="Y77" s="158">
        <f t="shared" si="7"/>
        <v>0</v>
      </c>
      <c r="Z77" s="158">
        <f t="shared" si="7"/>
        <v>0</v>
      </c>
      <c r="AA77" s="158">
        <f t="shared" si="7"/>
        <v>0</v>
      </c>
      <c r="AB77" s="158">
        <f t="shared" si="7"/>
        <v>0</v>
      </c>
      <c r="AC77" s="158">
        <f t="shared" si="7"/>
        <v>0</v>
      </c>
      <c r="AD77" s="158">
        <f t="shared" si="7"/>
        <v>0</v>
      </c>
      <c r="AE77" s="158">
        <f t="shared" si="7"/>
        <v>0</v>
      </c>
      <c r="AF77" s="158">
        <f t="shared" si="7"/>
        <v>0</v>
      </c>
      <c r="AG77" s="158">
        <f t="shared" si="7"/>
        <v>0</v>
      </c>
      <c r="AH77" s="158">
        <f t="shared" si="7"/>
        <v>0</v>
      </c>
      <c r="AI77" s="158">
        <f t="shared" si="7"/>
        <v>0</v>
      </c>
      <c r="AJ77" s="158">
        <f t="shared" si="7"/>
        <v>0</v>
      </c>
      <c r="AK77" s="158">
        <f t="shared" si="7"/>
        <v>0</v>
      </c>
      <c r="AL77" s="158">
        <f t="shared" si="7"/>
        <v>0</v>
      </c>
      <c r="AM77" s="158">
        <f t="shared" si="7"/>
        <v>0</v>
      </c>
      <c r="AN77" s="158">
        <f t="shared" si="7"/>
        <v>0</v>
      </c>
      <c r="AO77" s="158">
        <f t="shared" si="7"/>
        <v>0</v>
      </c>
      <c r="AP77" s="158">
        <f t="shared" si="7"/>
        <v>0</v>
      </c>
      <c r="AQ77" s="158">
        <f t="shared" si="7"/>
        <v>0</v>
      </c>
      <c r="AR77" s="158">
        <f t="shared" si="7"/>
        <v>0</v>
      </c>
      <c r="AS77" s="158">
        <f t="shared" ref="AS77:AV77" si="8">SUM(AS72:AS76)</f>
        <v>0</v>
      </c>
      <c r="AT77" s="158">
        <f t="shared" si="8"/>
        <v>0</v>
      </c>
      <c r="AU77" s="158">
        <f t="shared" si="8"/>
        <v>0</v>
      </c>
      <c r="AV77" s="158">
        <f t="shared" si="8"/>
        <v>0</v>
      </c>
    </row>
    <row r="78" spans="1:48" s="15" customFormat="1" ht="13.5" outlineLevel="1" x14ac:dyDescent="0.25">
      <c r="B78" s="138" t="s">
        <v>1516</v>
      </c>
      <c r="C78" s="138" t="s">
        <v>1327</v>
      </c>
      <c r="D78" s="136">
        <f t="shared" ref="D78:AV78" si="9">D70*$C$28/100*$S$24/1000</f>
        <v>0</v>
      </c>
      <c r="E78" s="136">
        <f t="shared" si="9"/>
        <v>0</v>
      </c>
      <c r="F78" s="136">
        <f t="shared" si="9"/>
        <v>0</v>
      </c>
      <c r="G78" s="136">
        <f t="shared" si="9"/>
        <v>0</v>
      </c>
      <c r="H78" s="136">
        <f t="shared" si="9"/>
        <v>0</v>
      </c>
      <c r="I78" s="136">
        <f t="shared" si="9"/>
        <v>0</v>
      </c>
      <c r="J78" s="136">
        <f t="shared" si="9"/>
        <v>0</v>
      </c>
      <c r="K78" s="136">
        <f t="shared" si="9"/>
        <v>0</v>
      </c>
      <c r="L78" s="136">
        <f t="shared" si="9"/>
        <v>0</v>
      </c>
      <c r="M78" s="136">
        <f t="shared" si="9"/>
        <v>0</v>
      </c>
      <c r="N78" s="136">
        <f t="shared" si="9"/>
        <v>0</v>
      </c>
      <c r="O78" s="136">
        <f t="shared" si="9"/>
        <v>0</v>
      </c>
      <c r="P78" s="136">
        <f t="shared" si="9"/>
        <v>0</v>
      </c>
      <c r="Q78" s="136">
        <f t="shared" si="9"/>
        <v>0</v>
      </c>
      <c r="R78" s="136">
        <f t="shared" si="9"/>
        <v>0</v>
      </c>
      <c r="S78" s="136">
        <f t="shared" si="9"/>
        <v>0</v>
      </c>
      <c r="T78" s="136">
        <f t="shared" si="9"/>
        <v>0</v>
      </c>
      <c r="U78" s="136">
        <f t="shared" si="9"/>
        <v>0</v>
      </c>
      <c r="V78" s="136">
        <f t="shared" si="9"/>
        <v>0</v>
      </c>
      <c r="W78" s="136">
        <f t="shared" si="9"/>
        <v>0</v>
      </c>
      <c r="X78" s="136">
        <f t="shared" si="9"/>
        <v>0</v>
      </c>
      <c r="Y78" s="136">
        <f t="shared" si="9"/>
        <v>0</v>
      </c>
      <c r="Z78" s="136">
        <f t="shared" si="9"/>
        <v>0</v>
      </c>
      <c r="AA78" s="136">
        <f t="shared" si="9"/>
        <v>0</v>
      </c>
      <c r="AB78" s="136">
        <f t="shared" si="9"/>
        <v>0</v>
      </c>
      <c r="AC78" s="136">
        <f t="shared" si="9"/>
        <v>0</v>
      </c>
      <c r="AD78" s="136">
        <f t="shared" si="9"/>
        <v>0</v>
      </c>
      <c r="AE78" s="136">
        <f t="shared" si="9"/>
        <v>0</v>
      </c>
      <c r="AF78" s="136">
        <f t="shared" si="9"/>
        <v>0</v>
      </c>
      <c r="AG78" s="136">
        <f t="shared" si="9"/>
        <v>0</v>
      </c>
      <c r="AH78" s="136">
        <f t="shared" si="9"/>
        <v>0</v>
      </c>
      <c r="AI78" s="136">
        <f t="shared" si="9"/>
        <v>0</v>
      </c>
      <c r="AJ78" s="136">
        <f t="shared" si="9"/>
        <v>0</v>
      </c>
      <c r="AK78" s="136">
        <f t="shared" si="9"/>
        <v>0</v>
      </c>
      <c r="AL78" s="136">
        <f t="shared" si="9"/>
        <v>0</v>
      </c>
      <c r="AM78" s="136">
        <f t="shared" si="9"/>
        <v>0</v>
      </c>
      <c r="AN78" s="136">
        <f t="shared" si="9"/>
        <v>0</v>
      </c>
      <c r="AO78" s="136">
        <f t="shared" si="9"/>
        <v>0</v>
      </c>
      <c r="AP78" s="136">
        <f t="shared" si="9"/>
        <v>0</v>
      </c>
      <c r="AQ78" s="136">
        <f t="shared" si="9"/>
        <v>0</v>
      </c>
      <c r="AR78" s="136">
        <f t="shared" si="9"/>
        <v>0</v>
      </c>
      <c r="AS78" s="136">
        <f t="shared" si="9"/>
        <v>0</v>
      </c>
      <c r="AT78" s="136">
        <f t="shared" si="9"/>
        <v>0</v>
      </c>
      <c r="AU78" s="136">
        <f t="shared" si="9"/>
        <v>0</v>
      </c>
      <c r="AV78" s="136">
        <f t="shared" si="9"/>
        <v>0</v>
      </c>
    </row>
    <row r="79" spans="1:48" s="15" customFormat="1" ht="13.5" outlineLevel="1" x14ac:dyDescent="0.25">
      <c r="B79" s="138" t="s">
        <v>1328</v>
      </c>
      <c r="C79" s="138" t="s">
        <v>659</v>
      </c>
      <c r="D79" s="136">
        <f t="shared" ref="D79:AV79" si="10">D70*$C$28/100*$S$25/1000</f>
        <v>0</v>
      </c>
      <c r="E79" s="136">
        <f t="shared" si="10"/>
        <v>0</v>
      </c>
      <c r="F79" s="136">
        <f t="shared" si="10"/>
        <v>0</v>
      </c>
      <c r="G79" s="136">
        <f t="shared" si="10"/>
        <v>0</v>
      </c>
      <c r="H79" s="136">
        <f t="shared" si="10"/>
        <v>0</v>
      </c>
      <c r="I79" s="136">
        <f t="shared" si="10"/>
        <v>0</v>
      </c>
      <c r="J79" s="136">
        <f t="shared" si="10"/>
        <v>0</v>
      </c>
      <c r="K79" s="136">
        <f t="shared" si="10"/>
        <v>0</v>
      </c>
      <c r="L79" s="136">
        <f t="shared" si="10"/>
        <v>0</v>
      </c>
      <c r="M79" s="136">
        <f t="shared" si="10"/>
        <v>0</v>
      </c>
      <c r="N79" s="136">
        <f t="shared" si="10"/>
        <v>0</v>
      </c>
      <c r="O79" s="136">
        <f t="shared" si="10"/>
        <v>0</v>
      </c>
      <c r="P79" s="136">
        <f t="shared" si="10"/>
        <v>0</v>
      </c>
      <c r="Q79" s="136">
        <f t="shared" si="10"/>
        <v>0</v>
      </c>
      <c r="R79" s="136">
        <f t="shared" si="10"/>
        <v>0</v>
      </c>
      <c r="S79" s="136">
        <f t="shared" si="10"/>
        <v>0</v>
      </c>
      <c r="T79" s="136">
        <f t="shared" si="10"/>
        <v>0</v>
      </c>
      <c r="U79" s="136">
        <f t="shared" si="10"/>
        <v>0</v>
      </c>
      <c r="V79" s="136">
        <f t="shared" si="10"/>
        <v>0</v>
      </c>
      <c r="W79" s="136">
        <f t="shared" si="10"/>
        <v>0</v>
      </c>
      <c r="X79" s="136">
        <f t="shared" si="10"/>
        <v>0</v>
      </c>
      <c r="Y79" s="136">
        <f t="shared" si="10"/>
        <v>0</v>
      </c>
      <c r="Z79" s="136">
        <f t="shared" si="10"/>
        <v>0</v>
      </c>
      <c r="AA79" s="136">
        <f t="shared" si="10"/>
        <v>0</v>
      </c>
      <c r="AB79" s="136">
        <f t="shared" si="10"/>
        <v>0</v>
      </c>
      <c r="AC79" s="136">
        <f t="shared" si="10"/>
        <v>0</v>
      </c>
      <c r="AD79" s="136">
        <f t="shared" si="10"/>
        <v>0</v>
      </c>
      <c r="AE79" s="136">
        <f t="shared" si="10"/>
        <v>0</v>
      </c>
      <c r="AF79" s="136">
        <f t="shared" si="10"/>
        <v>0</v>
      </c>
      <c r="AG79" s="136">
        <f t="shared" si="10"/>
        <v>0</v>
      </c>
      <c r="AH79" s="136">
        <f t="shared" si="10"/>
        <v>0</v>
      </c>
      <c r="AI79" s="136">
        <f t="shared" si="10"/>
        <v>0</v>
      </c>
      <c r="AJ79" s="136">
        <f t="shared" si="10"/>
        <v>0</v>
      </c>
      <c r="AK79" s="136">
        <f t="shared" si="10"/>
        <v>0</v>
      </c>
      <c r="AL79" s="136">
        <f t="shared" si="10"/>
        <v>0</v>
      </c>
      <c r="AM79" s="136">
        <f t="shared" si="10"/>
        <v>0</v>
      </c>
      <c r="AN79" s="136">
        <f t="shared" si="10"/>
        <v>0</v>
      </c>
      <c r="AO79" s="136">
        <f t="shared" si="10"/>
        <v>0</v>
      </c>
      <c r="AP79" s="136">
        <f t="shared" si="10"/>
        <v>0</v>
      </c>
      <c r="AQ79" s="136">
        <f t="shared" si="10"/>
        <v>0</v>
      </c>
      <c r="AR79" s="136">
        <f t="shared" si="10"/>
        <v>0</v>
      </c>
      <c r="AS79" s="136">
        <f t="shared" si="10"/>
        <v>0</v>
      </c>
      <c r="AT79" s="136">
        <f t="shared" si="10"/>
        <v>0</v>
      </c>
      <c r="AU79" s="136">
        <f t="shared" si="10"/>
        <v>0</v>
      </c>
      <c r="AV79" s="136">
        <f t="shared" si="10"/>
        <v>0</v>
      </c>
    </row>
    <row r="80" spans="1:48" s="39" customFormat="1" ht="13.5" outlineLevel="1" x14ac:dyDescent="0.25">
      <c r="B80" s="139" t="s">
        <v>1261</v>
      </c>
      <c r="C80" s="139" t="s">
        <v>853</v>
      </c>
      <c r="D80" s="140">
        <f>D78*SISENDID!$D$418</f>
        <v>0</v>
      </c>
      <c r="E80" s="140">
        <f>E78*SISENDID!$D$418</f>
        <v>0</v>
      </c>
      <c r="F80" s="140">
        <f>F78*SISENDID!$D$418</f>
        <v>0</v>
      </c>
      <c r="G80" s="140">
        <f>G78*SISENDID!$D$418</f>
        <v>0</v>
      </c>
      <c r="H80" s="140">
        <f>H78*SISENDID!$D$418</f>
        <v>0</v>
      </c>
      <c r="I80" s="140">
        <f>I78*SISENDID!$D$418</f>
        <v>0</v>
      </c>
      <c r="J80" s="140">
        <f>J78*SISENDID!$D$418</f>
        <v>0</v>
      </c>
      <c r="K80" s="140">
        <f>K78*SISENDID!$D$418</f>
        <v>0</v>
      </c>
      <c r="L80" s="140">
        <f>L78*SISENDID!$D$418</f>
        <v>0</v>
      </c>
      <c r="M80" s="140">
        <f>M78*SISENDID!$D$418</f>
        <v>0</v>
      </c>
      <c r="N80" s="140">
        <f>N78*SISENDID!$D$418</f>
        <v>0</v>
      </c>
      <c r="O80" s="140">
        <f>O78*SISENDID!$D$418</f>
        <v>0</v>
      </c>
      <c r="P80" s="140">
        <f>P78*SISENDID!$D$418</f>
        <v>0</v>
      </c>
      <c r="Q80" s="140">
        <f>Q78*SISENDID!$D$418</f>
        <v>0</v>
      </c>
      <c r="R80" s="140">
        <f>R78*SISENDID!$D$418</f>
        <v>0</v>
      </c>
      <c r="S80" s="140">
        <f>S78*SISENDID!$D$418</f>
        <v>0</v>
      </c>
      <c r="T80" s="140">
        <f>T78*SISENDID!$D$418</f>
        <v>0</v>
      </c>
      <c r="U80" s="140">
        <f>U78*SISENDID!$D$418</f>
        <v>0</v>
      </c>
      <c r="V80" s="140">
        <f>V78*SISENDID!$D$418</f>
        <v>0</v>
      </c>
      <c r="W80" s="140">
        <f>W78*SISENDID!$D$418</f>
        <v>0</v>
      </c>
      <c r="X80" s="140">
        <f>X78*SISENDID!$D$418</f>
        <v>0</v>
      </c>
      <c r="Y80" s="140">
        <f>Y78*SISENDID!$D$418</f>
        <v>0</v>
      </c>
      <c r="Z80" s="140">
        <f>Z78*SISENDID!$D$418</f>
        <v>0</v>
      </c>
      <c r="AA80" s="140">
        <f>AA78*SISENDID!$D$418</f>
        <v>0</v>
      </c>
      <c r="AB80" s="140">
        <f>AB78*SISENDID!$D$418</f>
        <v>0</v>
      </c>
      <c r="AC80" s="140">
        <f>AC78*SISENDID!$D$418</f>
        <v>0</v>
      </c>
      <c r="AD80" s="140">
        <f>AD78*SISENDID!$D$418</f>
        <v>0</v>
      </c>
      <c r="AE80" s="140">
        <f>AE78*SISENDID!$D$418</f>
        <v>0</v>
      </c>
      <c r="AF80" s="140">
        <f>AF78*SISENDID!$D$418</f>
        <v>0</v>
      </c>
      <c r="AG80" s="140">
        <f>AG78*SISENDID!$D$418</f>
        <v>0</v>
      </c>
      <c r="AH80" s="140">
        <f>AH78*SISENDID!$D$418</f>
        <v>0</v>
      </c>
      <c r="AI80" s="140">
        <f>AI78*SISENDID!$D$418</f>
        <v>0</v>
      </c>
      <c r="AJ80" s="140">
        <f>AJ78*SISENDID!$D$418</f>
        <v>0</v>
      </c>
      <c r="AK80" s="140">
        <f>AK78*SISENDID!$D$418</f>
        <v>0</v>
      </c>
      <c r="AL80" s="140">
        <f>AL78*SISENDID!$D$418</f>
        <v>0</v>
      </c>
      <c r="AM80" s="140">
        <f>AM78*SISENDID!$D$418</f>
        <v>0</v>
      </c>
      <c r="AN80" s="140">
        <f>AN78*SISENDID!$D$418</f>
        <v>0</v>
      </c>
      <c r="AO80" s="140">
        <f>AO78*SISENDID!$D$418</f>
        <v>0</v>
      </c>
      <c r="AP80" s="140">
        <f>AP78*SISENDID!$D$418</f>
        <v>0</v>
      </c>
      <c r="AQ80" s="140">
        <f>AQ78*SISENDID!$D$418</f>
        <v>0</v>
      </c>
      <c r="AR80" s="140">
        <f>AR78*SISENDID!$D$418</f>
        <v>0</v>
      </c>
      <c r="AS80" s="140">
        <f>AS78*SISENDID!$D$418</f>
        <v>0</v>
      </c>
      <c r="AT80" s="140">
        <f>AT78*SISENDID!$D$418</f>
        <v>0</v>
      </c>
      <c r="AU80" s="140">
        <f>AU78*SISENDID!$D$418</f>
        <v>0</v>
      </c>
      <c r="AV80" s="140">
        <f>AV78*SISENDID!$D$418</f>
        <v>0</v>
      </c>
    </row>
    <row r="82" spans="2:4" x14ac:dyDescent="0.25">
      <c r="B82" s="125" t="s">
        <v>1517</v>
      </c>
    </row>
    <row r="83" spans="2:4" x14ac:dyDescent="0.25">
      <c r="B83" s="126" t="s">
        <v>1506</v>
      </c>
      <c r="C83" s="127">
        <v>1</v>
      </c>
    </row>
    <row r="84" spans="2:4" x14ac:dyDescent="0.25">
      <c r="B84" s="126" t="s">
        <v>1518</v>
      </c>
      <c r="C84" s="128">
        <v>2</v>
      </c>
    </row>
    <row r="85" spans="2:4" x14ac:dyDescent="0.25">
      <c r="B85" s="126" t="s">
        <v>1519</v>
      </c>
      <c r="C85" s="128">
        <v>3</v>
      </c>
    </row>
    <row r="86" spans="2:4" x14ac:dyDescent="0.25">
      <c r="B86" s="129"/>
      <c r="C86" s="128">
        <v>4</v>
      </c>
      <c r="D86" s="130"/>
    </row>
    <row r="87" spans="2:4" x14ac:dyDescent="0.25">
      <c r="C87" s="128">
        <v>5</v>
      </c>
      <c r="D87" s="130"/>
    </row>
    <row r="88" spans="2:4" x14ac:dyDescent="0.25">
      <c r="C88" s="128">
        <v>6</v>
      </c>
      <c r="D88" s="131"/>
    </row>
    <row r="89" spans="2:4" x14ac:dyDescent="0.25">
      <c r="C89" s="127">
        <v>7</v>
      </c>
      <c r="D89" s="131"/>
    </row>
    <row r="90" spans="2:4" x14ac:dyDescent="0.25">
      <c r="C90" s="127">
        <v>8</v>
      </c>
      <c r="D90" s="131"/>
    </row>
    <row r="91" spans="2:4" x14ac:dyDescent="0.25">
      <c r="C91" s="127">
        <v>9</v>
      </c>
      <c r="D91" s="131"/>
    </row>
    <row r="92" spans="2:4" x14ac:dyDescent="0.25">
      <c r="C92" s="127">
        <v>10</v>
      </c>
      <c r="D92" s="131"/>
    </row>
  </sheetData>
  <mergeCells count="2">
    <mergeCell ref="B3:F3"/>
    <mergeCell ref="G3:L3"/>
  </mergeCells>
  <conditionalFormatting sqref="C51:C52">
    <cfRule type="colorScale" priority="1">
      <colorScale>
        <cfvo type="num" val="1"/>
        <cfvo type="num" val="5"/>
        <cfvo type="num" val="10"/>
        <color rgb="FFF8696B"/>
        <color rgb="FFFFEB84"/>
        <color rgb="FF63BE7B"/>
      </colorScale>
    </cfRule>
  </conditionalFormatting>
  <conditionalFormatting sqref="C54:C55">
    <cfRule type="containsText" dxfId="20" priority="2" operator="containsText" text="Uuringud">
      <formula>NOT(ISERROR(SEARCH("Uuringud",C54)))</formula>
    </cfRule>
    <cfRule type="containsText" dxfId="19" priority="3" operator="containsText" text="Eksperdid">
      <formula>NOT(ISERROR(SEARCH("Eksperdid",C54)))</formula>
    </cfRule>
    <cfRule type="containsText" dxfId="18" priority="4" operator="containsText" text="Umbkaudne">
      <formula>NOT(ISERROR(SEARCH("Umbkaudne",C54)))</formula>
    </cfRule>
  </conditionalFormatting>
  <dataValidations count="3">
    <dataValidation type="list" allowBlank="1" showInputMessage="1" showErrorMessage="1" sqref="C54:C55" xr:uid="{299E001D-4A36-4FE0-808E-9A90B8258849}">
      <formula1>$B$83:$B$85</formula1>
    </dataValidation>
    <dataValidation type="list" allowBlank="1" showInputMessage="1" showErrorMessage="1" sqref="C51:C52" xr:uid="{06AE34E9-AE9F-44E9-9717-0049CBE88C16}">
      <formula1>$C$83:$C$92</formula1>
    </dataValidation>
    <dataValidation type="list" allowBlank="1" showInputMessage="1" showErrorMessage="1" sqref="D51:D52" xr:uid="{2E699651-74F6-4C5B-B9AA-C57D38BA45F5}">
      <formula1>#REF!</formula1>
    </dataValidation>
  </dataValidations>
  <hyperlinks>
    <hyperlink ref="B1" location="'Meetmete nimekiri'!A1" display="&lt;-MEETMETE NIMEKIRI" xr:uid="{8DE6D600-E86E-4347-BE70-544004FC3F8D}"/>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4C191-A7B6-4C0D-9D9A-8E2850C60E3F}">
  <sheetPr>
    <tabColor theme="5" tint="0.79998168889431442"/>
  </sheetPr>
  <dimension ref="A1:AV67"/>
  <sheetViews>
    <sheetView showGridLines="0" zoomScaleNormal="100" workbookViewId="0">
      <selection activeCell="C24" activeCellId="4" sqref="C8:C9 C11:C12 C15:C18 C20:C22 C24"/>
    </sheetView>
  </sheetViews>
  <sheetFormatPr defaultColWidth="8.85546875" defaultRowHeight="15" outlineLevelRow="1" x14ac:dyDescent="0.25"/>
  <cols>
    <col min="1" max="1" width="2.28515625" customWidth="1"/>
    <col min="2" max="2" width="44.5703125" customWidth="1"/>
    <col min="3" max="4" width="11.285156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6" width="9.85546875" bestFit="1" customWidth="1"/>
    <col min="17" max="17" width="12.140625"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5.25" customHeight="1" x14ac:dyDescent="0.25">
      <c r="A3" s="260" t="s">
        <v>272</v>
      </c>
      <c r="B3" s="700" t="str">
        <f>"MEEDE: "&amp;VLOOKUP(A3,MEETMED!B:G,2,FALSE)</f>
        <v>MEEDE: Sõidukite heidete vähendamine</v>
      </c>
      <c r="C3" s="700"/>
      <c r="D3" s="990" t="str">
        <f>"TEGEVUS: "&amp;VLOOKUP(A3,MEETMED!B:G,3,FALSE)</f>
        <v>TEGEVUS: Linna veeremi (sh MUPO ja operatiivsõidukid) üleviimine süsinikuvabadele kütustele. Lisaks kaaluda operatiivsõidukite elektrifitseerimist</v>
      </c>
      <c r="E3" s="990"/>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2"/>
    </row>
    <row r="7" spans="1:27" s="1" customFormat="1" ht="5.25" customHeight="1" outlineLevel="1" x14ac:dyDescent="0.25">
      <c r="D7" s="2"/>
    </row>
    <row r="8" spans="1:27" s="1" customFormat="1" outlineLevel="1" x14ac:dyDescent="0.25">
      <c r="B8" s="802" t="s">
        <v>1288</v>
      </c>
      <c r="C8" s="902">
        <v>2030</v>
      </c>
      <c r="D8" s="7" t="s">
        <v>863</v>
      </c>
      <c r="G8" s="277" t="s">
        <v>876</v>
      </c>
    </row>
    <row r="9" spans="1:27" s="1" customFormat="1" outlineLevel="1" x14ac:dyDescent="0.25">
      <c r="B9" s="802" t="s">
        <v>1289</v>
      </c>
      <c r="C9" s="902">
        <v>2035</v>
      </c>
      <c r="D9" s="7" t="s">
        <v>863</v>
      </c>
      <c r="G9" s="893" t="s">
        <v>1670</v>
      </c>
      <c r="H9" s="305" t="s">
        <v>877</v>
      </c>
    </row>
    <row r="10" spans="1:27" s="1" customFormat="1" outlineLevel="1" x14ac:dyDescent="0.25">
      <c r="B10" s="802" t="s">
        <v>1290</v>
      </c>
      <c r="C10" s="847">
        <f>C9-C8+1</f>
        <v>6</v>
      </c>
      <c r="D10" s="7" t="s">
        <v>863</v>
      </c>
      <c r="E10" s="7"/>
      <c r="F10" s="7"/>
      <c r="G10" s="892" t="s">
        <v>878</v>
      </c>
      <c r="H10" s="305" t="s">
        <v>1669</v>
      </c>
      <c r="I10" s="7"/>
      <c r="J10" s="7"/>
      <c r="K10" s="7"/>
      <c r="L10" s="7"/>
    </row>
    <row r="11" spans="1:27" s="1" customFormat="1" outlineLevel="1" x14ac:dyDescent="0.25">
      <c r="B11" s="802" t="s">
        <v>1291</v>
      </c>
      <c r="C11" s="902">
        <v>2026</v>
      </c>
      <c r="D11" s="7" t="s">
        <v>863</v>
      </c>
      <c r="E11" s="7"/>
      <c r="F11" s="7"/>
      <c r="G11" s="892" t="s">
        <v>1671</v>
      </c>
      <c r="H11" s="228">
        <v>1234</v>
      </c>
      <c r="I11" s="7"/>
      <c r="J11" s="7"/>
      <c r="K11" s="7"/>
      <c r="L11" s="7"/>
    </row>
    <row r="12" spans="1:27" s="1" customFormat="1" outlineLevel="1" x14ac:dyDescent="0.25">
      <c r="B12" s="802" t="s">
        <v>1292</v>
      </c>
      <c r="C12" s="902">
        <v>2050</v>
      </c>
      <c r="D12" s="7" t="s">
        <v>863</v>
      </c>
      <c r="E12" s="7"/>
      <c r="F12" s="7"/>
      <c r="G12" s="7"/>
      <c r="H12" s="7"/>
      <c r="I12" s="7"/>
      <c r="J12" s="7"/>
      <c r="K12" s="7"/>
      <c r="L12" s="7"/>
    </row>
    <row r="13" spans="1:27" s="1" customFormat="1" outlineLevel="1" x14ac:dyDescent="0.25">
      <c r="B13" s="802" t="s">
        <v>865</v>
      </c>
      <c r="C13" s="847">
        <f>C12-C11+1</f>
        <v>25</v>
      </c>
      <c r="D13" s="7" t="s">
        <v>863</v>
      </c>
      <c r="E13" s="7"/>
      <c r="F13" s="7"/>
      <c r="G13" s="7"/>
      <c r="H13" s="7"/>
      <c r="I13" s="7"/>
      <c r="J13" s="7"/>
      <c r="K13" s="7"/>
      <c r="L13" s="7"/>
    </row>
    <row r="14" spans="1:27" outlineLevel="1" x14ac:dyDescent="0.25">
      <c r="B14" s="715" t="s">
        <v>1488</v>
      </c>
      <c r="C14" s="502"/>
      <c r="D14" s="314"/>
    </row>
    <row r="15" spans="1:27" s="1" customFormat="1" outlineLevel="1" x14ac:dyDescent="0.25">
      <c r="B15" s="802" t="s">
        <v>1520</v>
      </c>
      <c r="C15" s="903">
        <f>SISENDID!M189</f>
        <v>94.001063264221159</v>
      </c>
      <c r="D15" s="7" t="s">
        <v>1515</v>
      </c>
      <c r="E15" s="309"/>
      <c r="N15" s="301"/>
      <c r="O15" s="302" t="s">
        <v>1297</v>
      </c>
      <c r="P15" s="302" t="s">
        <v>1298</v>
      </c>
      <c r="Q15" s="302" t="s">
        <v>1521</v>
      </c>
      <c r="R15" s="301" t="s">
        <v>1299</v>
      </c>
    </row>
    <row r="16" spans="1:27" s="1" customFormat="1" outlineLevel="1" x14ac:dyDescent="0.25">
      <c r="B16" s="802" t="s">
        <v>1522</v>
      </c>
      <c r="C16" s="903">
        <v>20000</v>
      </c>
      <c r="D16" s="7" t="s">
        <v>1523</v>
      </c>
      <c r="E16" s="309"/>
      <c r="N16" s="301" t="s">
        <v>1524</v>
      </c>
      <c r="O16" s="303">
        <v>700</v>
      </c>
      <c r="P16" s="303">
        <f>C16/100*Q16*R16</f>
        <v>2400</v>
      </c>
      <c r="Q16" s="329">
        <v>10</v>
      </c>
      <c r="R16" s="301">
        <v>1.2</v>
      </c>
    </row>
    <row r="17" spans="1:34" s="1" customFormat="1" outlineLevel="1" x14ac:dyDescent="0.25">
      <c r="B17" s="802" t="s">
        <v>1525</v>
      </c>
      <c r="C17" s="903">
        <v>50000</v>
      </c>
      <c r="D17" s="7" t="s">
        <v>1526</v>
      </c>
      <c r="E17" s="309"/>
      <c r="N17" s="301" t="s">
        <v>483</v>
      </c>
      <c r="O17" s="303">
        <f>(18/34)*O16</f>
        <v>370.58823529411762</v>
      </c>
      <c r="P17" s="303">
        <f>C16/100*Q17*R17</f>
        <v>1000</v>
      </c>
      <c r="Q17" s="304">
        <v>25</v>
      </c>
      <c r="R17" s="330">
        <v>0.2</v>
      </c>
    </row>
    <row r="18" spans="1:34" s="1" customFormat="1" outlineLevel="1" x14ac:dyDescent="0.25">
      <c r="B18" s="802" t="s">
        <v>1527</v>
      </c>
      <c r="C18" s="904">
        <v>0.2</v>
      </c>
      <c r="D18" s="7"/>
      <c r="E18" s="309"/>
    </row>
    <row r="19" spans="1:34" s="5" customFormat="1" outlineLevel="1" x14ac:dyDescent="0.25">
      <c r="A19" s="1"/>
      <c r="B19" s="802" t="s">
        <v>1528</v>
      </c>
      <c r="C19" s="853">
        <f>C18*C17</f>
        <v>10000</v>
      </c>
      <c r="D19" s="7" t="s">
        <v>1526</v>
      </c>
      <c r="E19" s="7"/>
      <c r="F19" s="7"/>
      <c r="G19" s="7"/>
      <c r="H19" s="7"/>
      <c r="I19" s="7"/>
      <c r="J19" s="7"/>
      <c r="K19" s="7"/>
      <c r="L19" s="7"/>
      <c r="M19" s="1"/>
      <c r="N19" s="1"/>
      <c r="O19" s="1"/>
      <c r="P19" s="1"/>
      <c r="Q19" s="1"/>
      <c r="R19" s="1"/>
      <c r="S19" s="1"/>
      <c r="T19" s="1"/>
      <c r="U19" s="1"/>
      <c r="V19" s="1"/>
      <c r="W19" s="1"/>
      <c r="X19" s="1"/>
      <c r="Y19" s="1"/>
      <c r="Z19" s="1"/>
      <c r="AA19" s="1"/>
      <c r="AB19" s="1"/>
      <c r="AC19" s="1"/>
      <c r="AD19" s="1"/>
      <c r="AE19" s="1"/>
      <c r="AF19" s="1"/>
      <c r="AG19" s="1"/>
      <c r="AH19" s="1"/>
    </row>
    <row r="20" spans="1:34" s="1" customFormat="1" outlineLevel="1" x14ac:dyDescent="0.25">
      <c r="B20" s="802" t="s">
        <v>1300</v>
      </c>
      <c r="C20" s="903">
        <f>P17-P16</f>
        <v>-1400</v>
      </c>
      <c r="D20" s="7" t="s">
        <v>1529</v>
      </c>
      <c r="E20" s="309"/>
      <c r="F20" s="7"/>
      <c r="G20" s="7"/>
      <c r="H20" s="7"/>
      <c r="I20" s="7"/>
      <c r="J20" s="7"/>
      <c r="K20" s="7"/>
      <c r="L20" s="7"/>
    </row>
    <row r="21" spans="1:34" s="1" customFormat="1" outlineLevel="1" x14ac:dyDescent="0.25">
      <c r="B21" s="802" t="s">
        <v>1303</v>
      </c>
      <c r="C21" s="903">
        <f>O17-O16</f>
        <v>-329.41176470588238</v>
      </c>
      <c r="D21" s="7" t="s">
        <v>1529</v>
      </c>
      <c r="E21" s="309"/>
      <c r="F21" s="7"/>
      <c r="G21" s="7"/>
      <c r="H21" s="7"/>
      <c r="I21" s="7"/>
      <c r="J21" s="7"/>
      <c r="K21" s="7"/>
      <c r="L21" s="7"/>
    </row>
    <row r="22" spans="1:34" s="1" customFormat="1" outlineLevel="1" x14ac:dyDescent="0.25">
      <c r="B22" s="802" t="s">
        <v>1311</v>
      </c>
      <c r="C22" s="908">
        <v>1</v>
      </c>
      <c r="D22" s="7"/>
      <c r="E22" s="309"/>
      <c r="F22" s="7"/>
      <c r="G22" s="7"/>
      <c r="H22" s="7"/>
      <c r="I22" s="7"/>
      <c r="J22" s="7"/>
      <c r="K22" s="7"/>
      <c r="L22" s="7"/>
    </row>
    <row r="23" spans="1:34" s="1" customFormat="1" outlineLevel="1" x14ac:dyDescent="0.25">
      <c r="B23" s="802" t="s">
        <v>882</v>
      </c>
      <c r="C23" s="847">
        <f>C15/C10*C22</f>
        <v>15.666843877370193</v>
      </c>
      <c r="D23" s="7" t="s">
        <v>1238</v>
      </c>
      <c r="E23" s="7"/>
      <c r="F23" s="7"/>
      <c r="G23" s="7"/>
      <c r="H23" s="7"/>
      <c r="I23" s="7"/>
      <c r="J23" s="7"/>
      <c r="K23" s="7"/>
      <c r="L23" s="7"/>
    </row>
    <row r="24" spans="1:34" s="5" customFormat="1" outlineLevel="1" x14ac:dyDescent="0.25">
      <c r="A24" s="1"/>
      <c r="B24" s="7" t="s">
        <v>1530</v>
      </c>
      <c r="C24" s="907">
        <v>12</v>
      </c>
      <c r="D24" s="7" t="s">
        <v>863</v>
      </c>
      <c r="E24" s="309"/>
      <c r="F24" s="7"/>
      <c r="G24" s="7"/>
      <c r="H24" s="7"/>
      <c r="I24" s="7"/>
      <c r="J24" s="7"/>
      <c r="K24" s="7"/>
      <c r="L24" s="7"/>
      <c r="M24" s="1"/>
      <c r="N24" s="1"/>
      <c r="O24" s="1"/>
      <c r="P24" s="1"/>
      <c r="Q24" s="1"/>
      <c r="R24" s="1"/>
      <c r="S24" s="1"/>
      <c r="T24" s="1"/>
      <c r="U24" s="1"/>
      <c r="V24" s="1"/>
      <c r="W24" s="1"/>
      <c r="X24" s="1"/>
      <c r="Y24" s="1"/>
      <c r="Z24" s="1"/>
      <c r="AA24" s="1"/>
      <c r="AB24" s="1"/>
      <c r="AC24" s="1"/>
      <c r="AD24" s="1"/>
      <c r="AE24" s="1"/>
      <c r="AF24" s="1"/>
      <c r="AG24" s="1"/>
      <c r="AH24" s="1"/>
    </row>
    <row r="25" spans="1:34" s="1" customFormat="1" x14ac:dyDescent="0.25">
      <c r="B25" s="7"/>
      <c r="C25" s="7"/>
      <c r="D25" s="7"/>
      <c r="E25" s="7"/>
      <c r="F25" s="7"/>
      <c r="G25" s="7"/>
      <c r="H25" s="7"/>
      <c r="I25" s="7"/>
      <c r="J25" s="7"/>
      <c r="K25" s="7"/>
      <c r="L25" s="7"/>
    </row>
    <row r="26" spans="1:34" x14ac:dyDescent="0.25">
      <c r="A26" s="1"/>
      <c r="B26" s="659" t="s">
        <v>895</v>
      </c>
      <c r="C26" s="659"/>
      <c r="D26" s="659"/>
      <c r="E26" s="659"/>
      <c r="F26" s="659"/>
      <c r="G26" s="659"/>
      <c r="H26" s="659"/>
      <c r="I26" s="659"/>
      <c r="J26" s="659"/>
      <c r="K26" s="659"/>
      <c r="L26" s="659"/>
      <c r="M26" s="1"/>
      <c r="N26" s="1"/>
      <c r="O26" s="1"/>
      <c r="P26" s="1"/>
      <c r="Q26" s="1"/>
      <c r="R26" s="1"/>
      <c r="S26" s="1"/>
      <c r="T26" s="1"/>
      <c r="U26" s="1"/>
      <c r="V26" s="1"/>
      <c r="W26" s="1"/>
      <c r="X26" s="1"/>
      <c r="Y26" s="1"/>
      <c r="Z26" s="1"/>
      <c r="AA26" s="1"/>
      <c r="AB26" s="1"/>
      <c r="AC26" s="1"/>
      <c r="AD26" s="1"/>
      <c r="AE26" s="1"/>
      <c r="AF26" s="1"/>
      <c r="AG26" s="1"/>
      <c r="AH26" s="1"/>
    </row>
    <row r="27" spans="1:34" s="1" customFormat="1" ht="9.75" customHeight="1" outlineLevel="1" x14ac:dyDescent="0.25"/>
    <row r="28" spans="1:34" s="1" customFormat="1" outlineLevel="1" x14ac:dyDescent="0.25">
      <c r="B28" s="13" t="s">
        <v>896</v>
      </c>
      <c r="D28" s="43"/>
      <c r="E28" s="284" t="s">
        <v>897</v>
      </c>
    </row>
    <row r="29" spans="1:34" s="1" customFormat="1" outlineLevel="1" x14ac:dyDescent="0.25">
      <c r="B29" s="660" t="s">
        <v>898</v>
      </c>
      <c r="C29" s="665" t="s">
        <v>899</v>
      </c>
      <c r="D29" s="43"/>
      <c r="E29" s="661"/>
      <c r="F29" s="662" t="s">
        <v>900</v>
      </c>
    </row>
    <row r="30" spans="1:34" s="1" customFormat="1" outlineLevel="1" x14ac:dyDescent="0.25">
      <c r="B30" s="663" t="s">
        <v>398</v>
      </c>
      <c r="C30" s="666" t="s">
        <v>1316</v>
      </c>
      <c r="E30" s="663">
        <v>2030</v>
      </c>
      <c r="F30" s="670">
        <f>H55</f>
        <v>82.950304533616858</v>
      </c>
    </row>
    <row r="31" spans="1:34" s="1" customFormat="1" outlineLevel="1" x14ac:dyDescent="0.25">
      <c r="B31" s="155" t="s">
        <v>399</v>
      </c>
      <c r="C31" s="667" t="str">
        <f>C30</f>
        <v>1,5</v>
      </c>
      <c r="E31" s="155">
        <v>2035</v>
      </c>
      <c r="F31" s="428">
        <f>M55</f>
        <v>497.70182720170118</v>
      </c>
    </row>
    <row r="32" spans="1:34" s="1" customFormat="1" outlineLevel="1" x14ac:dyDescent="0.25">
      <c r="B32" s="663" t="s">
        <v>400</v>
      </c>
      <c r="C32" s="666">
        <f>SUM(D52:AB52)/25/1000</f>
        <v>-4.0431516152234413E-2</v>
      </c>
      <c r="E32" s="663">
        <v>2040</v>
      </c>
      <c r="F32" s="670">
        <f>R55</f>
        <v>497.70182720170118</v>
      </c>
    </row>
    <row r="33" spans="1:48" s="1" customFormat="1" ht="15" customHeight="1" outlineLevel="1" x14ac:dyDescent="0.25">
      <c r="B33" s="155" t="s">
        <v>401</v>
      </c>
      <c r="C33" s="667">
        <f>SUM(D52:AB52)/25/1000</f>
        <v>-4.0431516152234413E-2</v>
      </c>
      <c r="E33" s="155">
        <v>2045</v>
      </c>
      <c r="F33" s="428">
        <f>W55</f>
        <v>165.90060906723375</v>
      </c>
    </row>
    <row r="34" spans="1:48" s="1" customFormat="1" outlineLevel="1" x14ac:dyDescent="0.25">
      <c r="B34" s="663" t="s">
        <v>901</v>
      </c>
      <c r="C34" s="670">
        <f>MAX(D55:AR55)</f>
        <v>497.70182720170118</v>
      </c>
      <c r="E34" s="663">
        <v>2050</v>
      </c>
      <c r="F34" s="670">
        <f>AB55</f>
        <v>0</v>
      </c>
    </row>
    <row r="35" spans="1:48" s="1" customFormat="1" outlineLevel="1" x14ac:dyDescent="0.25">
      <c r="B35" s="711" t="s">
        <v>1386</v>
      </c>
      <c r="C35" s="425">
        <f>SUM(D53:Z53)*SISENDID!E418/1000</f>
        <v>22.330591785645925</v>
      </c>
      <c r="E35" s="7"/>
    </row>
    <row r="36" spans="1:48" s="1" customFormat="1" outlineLevel="1" x14ac:dyDescent="0.25">
      <c r="B36" s="663" t="s">
        <v>403</v>
      </c>
      <c r="C36" s="670">
        <f>SUM(D52:AV52)*1000/SUM(D55:AV55)</f>
        <v>-169.24254787398766</v>
      </c>
      <c r="E36" s="7"/>
    </row>
    <row r="37" spans="1:48" s="1" customFormat="1" outlineLevel="1" x14ac:dyDescent="0.25">
      <c r="B37" s="13"/>
      <c r="C37" s="236"/>
      <c r="D37" s="2"/>
    </row>
    <row r="38" spans="1:48" s="1" customFormat="1" outlineLevel="1" x14ac:dyDescent="0.25">
      <c r="A38" s="2"/>
      <c r="B38" s="284" t="s">
        <v>903</v>
      </c>
      <c r="D38" s="43"/>
      <c r="E38" s="7"/>
      <c r="I38" s="277" t="s">
        <v>876</v>
      </c>
    </row>
    <row r="39" spans="1:48" s="1" customFormat="1" ht="16.5" customHeight="1" outlineLevel="1" x14ac:dyDescent="0.25">
      <c r="A39" s="2">
        <v>1</v>
      </c>
      <c r="B39" s="155" t="s">
        <v>904</v>
      </c>
      <c r="C39" s="307" t="s">
        <v>910</v>
      </c>
      <c r="D39" s="12"/>
      <c r="E39" s="12"/>
      <c r="F39" s="12"/>
      <c r="G39" s="12"/>
      <c r="H39" s="12"/>
      <c r="I39" s="311" t="s">
        <v>474</v>
      </c>
      <c r="J39" s="295" t="s">
        <v>906</v>
      </c>
    </row>
    <row r="40" spans="1:48" s="1" customFormat="1" ht="16.5" customHeight="1" outlineLevel="1" x14ac:dyDescent="0.25">
      <c r="A40" s="2"/>
      <c r="B40" s="155" t="s">
        <v>907</v>
      </c>
      <c r="C40" s="307" t="s">
        <v>474</v>
      </c>
      <c r="D40" s="397">
        <f>IF(C40="Kõrge",3,IF(C40="Mõõdukas",2,1))</f>
        <v>3</v>
      </c>
      <c r="E40" s="12"/>
      <c r="F40" s="12"/>
      <c r="G40" s="12"/>
      <c r="H40" s="12"/>
      <c r="I40" s="312" t="s">
        <v>905</v>
      </c>
      <c r="J40" s="295" t="s">
        <v>908</v>
      </c>
    </row>
    <row r="41" spans="1:48" s="1" customFormat="1" outlineLevel="1" x14ac:dyDescent="0.25">
      <c r="A41" s="2">
        <v>189</v>
      </c>
      <c r="B41" s="155" t="s">
        <v>909</v>
      </c>
      <c r="C41" s="307" t="s">
        <v>905</v>
      </c>
      <c r="D41" s="397">
        <f>IF(C41="Kõrge",3,IF(C41="Mõõdukas",2,1))</f>
        <v>2</v>
      </c>
      <c r="E41" s="12"/>
      <c r="F41" s="12"/>
      <c r="I41" s="313" t="s">
        <v>910</v>
      </c>
      <c r="J41" s="295" t="s">
        <v>911</v>
      </c>
    </row>
    <row r="42" spans="1:48" s="1" customFormat="1" x14ac:dyDescent="0.25">
      <c r="B42" s="7"/>
      <c r="C42" s="399" t="s">
        <v>912</v>
      </c>
      <c r="D42" s="398">
        <f>D41+D40</f>
        <v>5</v>
      </c>
      <c r="E42" s="7"/>
    </row>
    <row r="43" spans="1:48" x14ac:dyDescent="0.25">
      <c r="A43" s="1"/>
      <c r="B43" s="659" t="s">
        <v>913</v>
      </c>
      <c r="C43" s="659"/>
      <c r="D43" s="659"/>
      <c r="E43" s="659"/>
      <c r="F43" s="659"/>
      <c r="G43" s="659"/>
      <c r="H43" s="659"/>
      <c r="I43" s="659"/>
      <c r="J43" s="659"/>
      <c r="K43" s="659"/>
      <c r="L43" s="659"/>
      <c r="M43" s="659"/>
      <c r="N43" s="659"/>
      <c r="O43" s="659"/>
      <c r="P43" s="659"/>
      <c r="Q43" s="659"/>
      <c r="R43" s="659"/>
      <c r="S43" s="659"/>
      <c r="T43" s="659"/>
      <c r="U43" s="659"/>
      <c r="V43" s="659"/>
      <c r="W43" s="659"/>
      <c r="X43" s="659"/>
      <c r="Y43" s="659"/>
      <c r="Z43" s="659"/>
      <c r="AA43" s="659"/>
      <c r="AB43" s="659"/>
      <c r="AC43" s="659"/>
      <c r="AD43" s="659"/>
      <c r="AE43" s="659"/>
      <c r="AF43" s="659"/>
      <c r="AG43" s="659"/>
      <c r="AH43" s="659"/>
      <c r="AI43" s="659"/>
      <c r="AJ43" s="659"/>
      <c r="AK43" s="659"/>
      <c r="AL43" s="659"/>
      <c r="AM43" s="659"/>
      <c r="AN43" s="659"/>
      <c r="AO43" s="659"/>
      <c r="AP43" s="659"/>
      <c r="AQ43" s="659"/>
      <c r="AR43" s="659"/>
    </row>
    <row r="44" spans="1:48" s="15" customFormat="1" ht="7.5" customHeight="1" outlineLevel="1" x14ac:dyDescent="0.25"/>
    <row r="45" spans="1:48" s="15" customFormat="1" ht="13.5" outlineLevel="1" x14ac:dyDescent="0.25">
      <c r="B45" s="715" t="s">
        <v>914</v>
      </c>
      <c r="C45" s="719"/>
      <c r="D45" s="432">
        <f>C11</f>
        <v>2026</v>
      </c>
      <c r="E45" s="432">
        <f>D45+1</f>
        <v>2027</v>
      </c>
      <c r="F45" s="432">
        <f t="shared" ref="F45:AV45" si="0">E45+1</f>
        <v>2028</v>
      </c>
      <c r="G45" s="432">
        <f t="shared" si="0"/>
        <v>2029</v>
      </c>
      <c r="H45" s="432">
        <f t="shared" si="0"/>
        <v>2030</v>
      </c>
      <c r="I45" s="432">
        <f t="shared" si="0"/>
        <v>2031</v>
      </c>
      <c r="J45" s="432">
        <f t="shared" si="0"/>
        <v>2032</v>
      </c>
      <c r="K45" s="432">
        <f t="shared" si="0"/>
        <v>2033</v>
      </c>
      <c r="L45" s="432">
        <f t="shared" si="0"/>
        <v>2034</v>
      </c>
      <c r="M45" s="432">
        <f t="shared" si="0"/>
        <v>2035</v>
      </c>
      <c r="N45" s="432">
        <f>M45+1</f>
        <v>2036</v>
      </c>
      <c r="O45" s="432">
        <f t="shared" si="0"/>
        <v>2037</v>
      </c>
      <c r="P45" s="432">
        <f t="shared" si="0"/>
        <v>2038</v>
      </c>
      <c r="Q45" s="432">
        <f t="shared" si="0"/>
        <v>2039</v>
      </c>
      <c r="R45" s="432">
        <f t="shared" si="0"/>
        <v>2040</v>
      </c>
      <c r="S45" s="432">
        <f>R45+1</f>
        <v>2041</v>
      </c>
      <c r="T45" s="432">
        <f>S45+1</f>
        <v>2042</v>
      </c>
      <c r="U45" s="432">
        <f>T45+1</f>
        <v>2043</v>
      </c>
      <c r="V45" s="432">
        <f t="shared" si="0"/>
        <v>2044</v>
      </c>
      <c r="W45" s="432">
        <f t="shared" si="0"/>
        <v>2045</v>
      </c>
      <c r="X45" s="432">
        <f t="shared" si="0"/>
        <v>2046</v>
      </c>
      <c r="Y45" s="432">
        <f t="shared" si="0"/>
        <v>2047</v>
      </c>
      <c r="Z45" s="432">
        <f t="shared" si="0"/>
        <v>2048</v>
      </c>
      <c r="AA45" s="432">
        <f t="shared" si="0"/>
        <v>2049</v>
      </c>
      <c r="AB45" s="432">
        <f t="shared" si="0"/>
        <v>2050</v>
      </c>
      <c r="AC45" s="432">
        <f t="shared" si="0"/>
        <v>2051</v>
      </c>
      <c r="AD45" s="432">
        <f t="shared" si="0"/>
        <v>2052</v>
      </c>
      <c r="AE45" s="432">
        <f t="shared" si="0"/>
        <v>2053</v>
      </c>
      <c r="AF45" s="432">
        <f t="shared" si="0"/>
        <v>2054</v>
      </c>
      <c r="AG45" s="432">
        <f t="shared" si="0"/>
        <v>2055</v>
      </c>
      <c r="AH45" s="432">
        <f t="shared" si="0"/>
        <v>2056</v>
      </c>
      <c r="AI45" s="432">
        <f t="shared" si="0"/>
        <v>2057</v>
      </c>
      <c r="AJ45" s="432">
        <f t="shared" si="0"/>
        <v>2058</v>
      </c>
      <c r="AK45" s="432">
        <f t="shared" si="0"/>
        <v>2059</v>
      </c>
      <c r="AL45" s="432">
        <f t="shared" si="0"/>
        <v>2060</v>
      </c>
      <c r="AM45" s="432">
        <f t="shared" si="0"/>
        <v>2061</v>
      </c>
      <c r="AN45" s="432">
        <f t="shared" si="0"/>
        <v>2062</v>
      </c>
      <c r="AO45" s="432">
        <f t="shared" si="0"/>
        <v>2063</v>
      </c>
      <c r="AP45" s="432">
        <f t="shared" si="0"/>
        <v>2064</v>
      </c>
      <c r="AQ45" s="432">
        <f t="shared" si="0"/>
        <v>2065</v>
      </c>
      <c r="AR45" s="432">
        <f t="shared" si="0"/>
        <v>2066</v>
      </c>
      <c r="AS45" s="432">
        <f t="shared" si="0"/>
        <v>2067</v>
      </c>
      <c r="AT45" s="432">
        <f t="shared" si="0"/>
        <v>2068</v>
      </c>
      <c r="AU45" s="432">
        <f t="shared" si="0"/>
        <v>2069</v>
      </c>
      <c r="AV45" s="716">
        <f t="shared" si="0"/>
        <v>2070</v>
      </c>
    </row>
    <row r="46" spans="1:48" s="15" customFormat="1" ht="13.5" outlineLevel="1" x14ac:dyDescent="0.25">
      <c r="B46" s="816" t="s">
        <v>1318</v>
      </c>
      <c r="C46" s="815" t="s">
        <v>1531</v>
      </c>
      <c r="D46" s="686">
        <f t="shared" ref="D46:AV46" si="1">IF(OR(D45&lt;$C$8,D45&gt;$C$9),0,$C$23)</f>
        <v>0</v>
      </c>
      <c r="E46" s="686">
        <f t="shared" si="1"/>
        <v>0</v>
      </c>
      <c r="F46" s="686">
        <f t="shared" si="1"/>
        <v>0</v>
      </c>
      <c r="G46" s="686">
        <f t="shared" si="1"/>
        <v>0</v>
      </c>
      <c r="H46" s="686">
        <f t="shared" si="1"/>
        <v>15.666843877370193</v>
      </c>
      <c r="I46" s="686">
        <f t="shared" si="1"/>
        <v>15.666843877370193</v>
      </c>
      <c r="J46" s="686">
        <f t="shared" si="1"/>
        <v>15.666843877370193</v>
      </c>
      <c r="K46" s="686">
        <f t="shared" si="1"/>
        <v>15.666843877370193</v>
      </c>
      <c r="L46" s="686">
        <f t="shared" si="1"/>
        <v>15.666843877370193</v>
      </c>
      <c r="M46" s="686">
        <f t="shared" si="1"/>
        <v>15.666843877370193</v>
      </c>
      <c r="N46" s="686">
        <f t="shared" si="1"/>
        <v>0</v>
      </c>
      <c r="O46" s="686">
        <f t="shared" si="1"/>
        <v>0</v>
      </c>
      <c r="P46" s="686">
        <f t="shared" si="1"/>
        <v>0</v>
      </c>
      <c r="Q46" s="686">
        <f t="shared" si="1"/>
        <v>0</v>
      </c>
      <c r="R46" s="686">
        <f t="shared" si="1"/>
        <v>0</v>
      </c>
      <c r="S46" s="686">
        <f t="shared" si="1"/>
        <v>0</v>
      </c>
      <c r="T46" s="686">
        <f t="shared" si="1"/>
        <v>0</v>
      </c>
      <c r="U46" s="686">
        <f t="shared" si="1"/>
        <v>0</v>
      </c>
      <c r="V46" s="686">
        <f t="shared" si="1"/>
        <v>0</v>
      </c>
      <c r="W46" s="686">
        <f t="shared" si="1"/>
        <v>0</v>
      </c>
      <c r="X46" s="686">
        <f t="shared" si="1"/>
        <v>0</v>
      </c>
      <c r="Y46" s="686">
        <f t="shared" si="1"/>
        <v>0</v>
      </c>
      <c r="Z46" s="686">
        <f t="shared" si="1"/>
        <v>0</v>
      </c>
      <c r="AA46" s="686">
        <f t="shared" si="1"/>
        <v>0</v>
      </c>
      <c r="AB46" s="686">
        <f t="shared" si="1"/>
        <v>0</v>
      </c>
      <c r="AC46" s="686">
        <f t="shared" si="1"/>
        <v>0</v>
      </c>
      <c r="AD46" s="686">
        <f t="shared" si="1"/>
        <v>0</v>
      </c>
      <c r="AE46" s="686">
        <f t="shared" si="1"/>
        <v>0</v>
      </c>
      <c r="AF46" s="686">
        <f t="shared" si="1"/>
        <v>0</v>
      </c>
      <c r="AG46" s="686">
        <f t="shared" si="1"/>
        <v>0</v>
      </c>
      <c r="AH46" s="686">
        <f t="shared" si="1"/>
        <v>0</v>
      </c>
      <c r="AI46" s="686">
        <f t="shared" si="1"/>
        <v>0</v>
      </c>
      <c r="AJ46" s="686">
        <f t="shared" si="1"/>
        <v>0</v>
      </c>
      <c r="AK46" s="686">
        <f t="shared" si="1"/>
        <v>0</v>
      </c>
      <c r="AL46" s="686">
        <f t="shared" si="1"/>
        <v>0</v>
      </c>
      <c r="AM46" s="686">
        <f t="shared" si="1"/>
        <v>0</v>
      </c>
      <c r="AN46" s="686">
        <f t="shared" si="1"/>
        <v>0</v>
      </c>
      <c r="AO46" s="686">
        <f t="shared" si="1"/>
        <v>0</v>
      </c>
      <c r="AP46" s="686">
        <f t="shared" si="1"/>
        <v>0</v>
      </c>
      <c r="AQ46" s="686">
        <f t="shared" si="1"/>
        <v>0</v>
      </c>
      <c r="AR46" s="686">
        <f t="shared" si="1"/>
        <v>0</v>
      </c>
      <c r="AS46" s="686">
        <f t="shared" si="1"/>
        <v>0</v>
      </c>
      <c r="AT46" s="686">
        <f t="shared" si="1"/>
        <v>0</v>
      </c>
      <c r="AU46" s="686">
        <f t="shared" si="1"/>
        <v>0</v>
      </c>
      <c r="AV46" s="687">
        <f t="shared" si="1"/>
        <v>0</v>
      </c>
    </row>
    <row r="47" spans="1:48" s="15" customFormat="1" ht="13.5" outlineLevel="1" x14ac:dyDescent="0.25">
      <c r="B47" s="816" t="s">
        <v>1320</v>
      </c>
      <c r="C47" s="815" t="s">
        <v>1531</v>
      </c>
      <c r="D47" s="686">
        <f>D46</f>
        <v>0</v>
      </c>
      <c r="E47" s="686">
        <f t="shared" ref="E47:AV47" si="2">D47+E46-IF(ISERROR(HLOOKUP(E45-$C$24,$D$45:$AH$46,2,FALSE)),0,HLOOKUP(E45-$C$24,$D$45:$AH$46,2,FALSE))</f>
        <v>0</v>
      </c>
      <c r="F47" s="686">
        <f t="shared" si="2"/>
        <v>0</v>
      </c>
      <c r="G47" s="686">
        <f t="shared" si="2"/>
        <v>0</v>
      </c>
      <c r="H47" s="686">
        <f t="shared" si="2"/>
        <v>15.666843877370193</v>
      </c>
      <c r="I47" s="686">
        <f t="shared" si="2"/>
        <v>31.333687754740385</v>
      </c>
      <c r="J47" s="686">
        <f t="shared" si="2"/>
        <v>47.000531632110579</v>
      </c>
      <c r="K47" s="686">
        <f t="shared" si="2"/>
        <v>62.66737550948077</v>
      </c>
      <c r="L47" s="686">
        <f t="shared" si="2"/>
        <v>78.334219386850961</v>
      </c>
      <c r="M47" s="686">
        <f t="shared" si="2"/>
        <v>94.001063264221159</v>
      </c>
      <c r="N47" s="686">
        <f t="shared" si="2"/>
        <v>94.001063264221159</v>
      </c>
      <c r="O47" s="686">
        <f t="shared" si="2"/>
        <v>94.001063264221159</v>
      </c>
      <c r="P47" s="686">
        <f t="shared" si="2"/>
        <v>94.001063264221159</v>
      </c>
      <c r="Q47" s="686">
        <f t="shared" si="2"/>
        <v>94.001063264221159</v>
      </c>
      <c r="R47" s="686">
        <f t="shared" si="2"/>
        <v>94.001063264221159</v>
      </c>
      <c r="S47" s="686">
        <f t="shared" si="2"/>
        <v>94.001063264221159</v>
      </c>
      <c r="T47" s="686">
        <f t="shared" si="2"/>
        <v>78.334219386850961</v>
      </c>
      <c r="U47" s="686">
        <f t="shared" si="2"/>
        <v>62.66737550948077</v>
      </c>
      <c r="V47" s="686">
        <f t="shared" si="2"/>
        <v>47.000531632110579</v>
      </c>
      <c r="W47" s="686">
        <f t="shared" si="2"/>
        <v>31.333687754740389</v>
      </c>
      <c r="X47" s="686">
        <f t="shared" si="2"/>
        <v>15.666843877370196</v>
      </c>
      <c r="Y47" s="686">
        <f t="shared" si="2"/>
        <v>0</v>
      </c>
      <c r="Z47" s="686">
        <f t="shared" si="2"/>
        <v>0</v>
      </c>
      <c r="AA47" s="686">
        <f t="shared" si="2"/>
        <v>0</v>
      </c>
      <c r="AB47" s="686">
        <f t="shared" si="2"/>
        <v>0</v>
      </c>
      <c r="AC47" s="686">
        <f t="shared" si="2"/>
        <v>0</v>
      </c>
      <c r="AD47" s="686">
        <f t="shared" si="2"/>
        <v>0</v>
      </c>
      <c r="AE47" s="686">
        <f t="shared" si="2"/>
        <v>0</v>
      </c>
      <c r="AF47" s="686">
        <f t="shared" si="2"/>
        <v>0</v>
      </c>
      <c r="AG47" s="686">
        <f t="shared" si="2"/>
        <v>0</v>
      </c>
      <c r="AH47" s="686">
        <f t="shared" si="2"/>
        <v>0</v>
      </c>
      <c r="AI47" s="686">
        <f t="shared" si="2"/>
        <v>0</v>
      </c>
      <c r="AJ47" s="686">
        <f t="shared" si="2"/>
        <v>0</v>
      </c>
      <c r="AK47" s="686">
        <f t="shared" si="2"/>
        <v>0</v>
      </c>
      <c r="AL47" s="686">
        <f t="shared" si="2"/>
        <v>0</v>
      </c>
      <c r="AM47" s="686">
        <f t="shared" si="2"/>
        <v>0</v>
      </c>
      <c r="AN47" s="686">
        <f t="shared" si="2"/>
        <v>0</v>
      </c>
      <c r="AO47" s="686">
        <f t="shared" si="2"/>
        <v>0</v>
      </c>
      <c r="AP47" s="686">
        <f t="shared" si="2"/>
        <v>0</v>
      </c>
      <c r="AQ47" s="686">
        <f t="shared" si="2"/>
        <v>0</v>
      </c>
      <c r="AR47" s="686">
        <f t="shared" si="2"/>
        <v>0</v>
      </c>
      <c r="AS47" s="686">
        <f t="shared" si="2"/>
        <v>0</v>
      </c>
      <c r="AT47" s="686">
        <f t="shared" si="2"/>
        <v>0</v>
      </c>
      <c r="AU47" s="686">
        <f t="shared" si="2"/>
        <v>0</v>
      </c>
      <c r="AV47" s="687">
        <f t="shared" si="2"/>
        <v>0</v>
      </c>
    </row>
    <row r="48" spans="1:48" s="15" customFormat="1" ht="13.5" outlineLevel="1" x14ac:dyDescent="0.25">
      <c r="B48" s="431"/>
      <c r="C48" s="719"/>
      <c r="D48" s="719"/>
      <c r="E48" s="719"/>
      <c r="F48" s="719"/>
      <c r="G48" s="719"/>
      <c r="H48" s="719"/>
      <c r="I48" s="719"/>
      <c r="J48" s="719"/>
      <c r="K48" s="719"/>
      <c r="L48" s="719"/>
      <c r="M48" s="719"/>
      <c r="N48" s="719"/>
      <c r="O48" s="719"/>
      <c r="P48" s="719"/>
      <c r="Q48" s="719"/>
      <c r="R48" s="719"/>
      <c r="S48" s="719"/>
      <c r="T48" s="719"/>
      <c r="U48" s="719"/>
      <c r="V48" s="719"/>
      <c r="W48" s="719"/>
      <c r="X48" s="719"/>
      <c r="Y48" s="719"/>
      <c r="Z48" s="719"/>
      <c r="AA48" s="719"/>
      <c r="AB48" s="719"/>
      <c r="AC48" s="719"/>
      <c r="AD48" s="719"/>
      <c r="AE48" s="719"/>
      <c r="AF48" s="719"/>
      <c r="AG48" s="719"/>
      <c r="AH48" s="719"/>
      <c r="AI48" s="719"/>
      <c r="AJ48" s="719"/>
      <c r="AK48" s="719"/>
      <c r="AL48" s="719"/>
      <c r="AM48" s="719"/>
      <c r="AN48" s="719"/>
      <c r="AO48" s="719"/>
      <c r="AP48" s="719"/>
      <c r="AQ48" s="719"/>
      <c r="AR48" s="719"/>
      <c r="AS48" s="719"/>
      <c r="AT48" s="719"/>
      <c r="AU48" s="719"/>
      <c r="AV48" s="434"/>
    </row>
    <row r="49" spans="2:48" s="15" customFormat="1" ht="13.5" outlineLevel="1" x14ac:dyDescent="0.25">
      <c r="B49" s="817" t="s">
        <v>1321</v>
      </c>
      <c r="C49" s="818" t="s">
        <v>1243</v>
      </c>
      <c r="D49" s="675">
        <f t="shared" ref="D49:AV49" si="3">D46*$C$19/1000</f>
        <v>0</v>
      </c>
      <c r="E49" s="675">
        <f t="shared" si="3"/>
        <v>0</v>
      </c>
      <c r="F49" s="675">
        <f t="shared" si="3"/>
        <v>0</v>
      </c>
      <c r="G49" s="675">
        <f t="shared" si="3"/>
        <v>0</v>
      </c>
      <c r="H49" s="675">
        <f t="shared" si="3"/>
        <v>156.66843877370192</v>
      </c>
      <c r="I49" s="675">
        <f t="shared" si="3"/>
        <v>156.66843877370192</v>
      </c>
      <c r="J49" s="675">
        <f t="shared" si="3"/>
        <v>156.66843877370192</v>
      </c>
      <c r="K49" s="675">
        <f t="shared" si="3"/>
        <v>156.66843877370192</v>
      </c>
      <c r="L49" s="675">
        <f t="shared" si="3"/>
        <v>156.66843877370192</v>
      </c>
      <c r="M49" s="675">
        <f t="shared" si="3"/>
        <v>156.66843877370192</v>
      </c>
      <c r="N49" s="675">
        <f t="shared" si="3"/>
        <v>0</v>
      </c>
      <c r="O49" s="675">
        <f t="shared" si="3"/>
        <v>0</v>
      </c>
      <c r="P49" s="675">
        <f t="shared" si="3"/>
        <v>0</v>
      </c>
      <c r="Q49" s="675">
        <f t="shared" si="3"/>
        <v>0</v>
      </c>
      <c r="R49" s="675">
        <f t="shared" si="3"/>
        <v>0</v>
      </c>
      <c r="S49" s="675">
        <f t="shared" si="3"/>
        <v>0</v>
      </c>
      <c r="T49" s="675">
        <f t="shared" si="3"/>
        <v>0</v>
      </c>
      <c r="U49" s="675">
        <f t="shared" si="3"/>
        <v>0</v>
      </c>
      <c r="V49" s="675">
        <f t="shared" si="3"/>
        <v>0</v>
      </c>
      <c r="W49" s="675">
        <f t="shared" si="3"/>
        <v>0</v>
      </c>
      <c r="X49" s="675">
        <f t="shared" si="3"/>
        <v>0</v>
      </c>
      <c r="Y49" s="675">
        <f t="shared" si="3"/>
        <v>0</v>
      </c>
      <c r="Z49" s="675">
        <f t="shared" si="3"/>
        <v>0</v>
      </c>
      <c r="AA49" s="675">
        <f t="shared" si="3"/>
        <v>0</v>
      </c>
      <c r="AB49" s="675">
        <f t="shared" si="3"/>
        <v>0</v>
      </c>
      <c r="AC49" s="675">
        <f t="shared" si="3"/>
        <v>0</v>
      </c>
      <c r="AD49" s="675">
        <f t="shared" si="3"/>
        <v>0</v>
      </c>
      <c r="AE49" s="675">
        <f t="shared" si="3"/>
        <v>0</v>
      </c>
      <c r="AF49" s="675">
        <f t="shared" si="3"/>
        <v>0</v>
      </c>
      <c r="AG49" s="675">
        <f t="shared" si="3"/>
        <v>0</v>
      </c>
      <c r="AH49" s="675">
        <f t="shared" si="3"/>
        <v>0</v>
      </c>
      <c r="AI49" s="675">
        <f t="shared" si="3"/>
        <v>0</v>
      </c>
      <c r="AJ49" s="675">
        <f t="shared" si="3"/>
        <v>0</v>
      </c>
      <c r="AK49" s="675">
        <f t="shared" si="3"/>
        <v>0</v>
      </c>
      <c r="AL49" s="675">
        <f t="shared" si="3"/>
        <v>0</v>
      </c>
      <c r="AM49" s="675">
        <f t="shared" si="3"/>
        <v>0</v>
      </c>
      <c r="AN49" s="675">
        <f t="shared" si="3"/>
        <v>0</v>
      </c>
      <c r="AO49" s="675">
        <f t="shared" si="3"/>
        <v>0</v>
      </c>
      <c r="AP49" s="675">
        <f t="shared" si="3"/>
        <v>0</v>
      </c>
      <c r="AQ49" s="675">
        <f t="shared" si="3"/>
        <v>0</v>
      </c>
      <c r="AR49" s="675">
        <f t="shared" si="3"/>
        <v>0</v>
      </c>
      <c r="AS49" s="675">
        <f t="shared" si="3"/>
        <v>0</v>
      </c>
      <c r="AT49" s="675">
        <f t="shared" si="3"/>
        <v>0</v>
      </c>
      <c r="AU49" s="675">
        <f t="shared" si="3"/>
        <v>0</v>
      </c>
      <c r="AV49" s="676">
        <f t="shared" si="3"/>
        <v>0</v>
      </c>
    </row>
    <row r="50" spans="2:48" s="15" customFormat="1" ht="13.5" outlineLevel="1" x14ac:dyDescent="0.25">
      <c r="B50" s="817" t="s">
        <v>1323</v>
      </c>
      <c r="C50" s="818" t="s">
        <v>1243</v>
      </c>
      <c r="D50" s="675">
        <f t="shared" ref="D50:AV50" si="4">D47*$C$20/1000</f>
        <v>0</v>
      </c>
      <c r="E50" s="675">
        <f t="shared" si="4"/>
        <v>0</v>
      </c>
      <c r="F50" s="675">
        <f t="shared" si="4"/>
        <v>0</v>
      </c>
      <c r="G50" s="675">
        <f t="shared" si="4"/>
        <v>0</v>
      </c>
      <c r="H50" s="675">
        <f t="shared" si="4"/>
        <v>-21.93358142831827</v>
      </c>
      <c r="I50" s="675">
        <f t="shared" si="4"/>
        <v>-43.86716285663654</v>
      </c>
      <c r="J50" s="675">
        <f t="shared" si="4"/>
        <v>-65.800744284954803</v>
      </c>
      <c r="K50" s="675">
        <f t="shared" si="4"/>
        <v>-87.73432571327308</v>
      </c>
      <c r="L50" s="675">
        <f t="shared" si="4"/>
        <v>-109.66790714159134</v>
      </c>
      <c r="M50" s="675">
        <f t="shared" si="4"/>
        <v>-131.60148856990961</v>
      </c>
      <c r="N50" s="675">
        <f t="shared" si="4"/>
        <v>-131.60148856990961</v>
      </c>
      <c r="O50" s="675">
        <f t="shared" si="4"/>
        <v>-131.60148856990961</v>
      </c>
      <c r="P50" s="675">
        <f t="shared" si="4"/>
        <v>-131.60148856990961</v>
      </c>
      <c r="Q50" s="675">
        <f t="shared" si="4"/>
        <v>-131.60148856990961</v>
      </c>
      <c r="R50" s="675">
        <f t="shared" si="4"/>
        <v>-131.60148856990961</v>
      </c>
      <c r="S50" s="675">
        <f t="shared" si="4"/>
        <v>-131.60148856990961</v>
      </c>
      <c r="T50" s="675">
        <f t="shared" si="4"/>
        <v>-109.66790714159134</v>
      </c>
      <c r="U50" s="675">
        <f t="shared" si="4"/>
        <v>-87.73432571327308</v>
      </c>
      <c r="V50" s="675">
        <f t="shared" si="4"/>
        <v>-65.800744284954803</v>
      </c>
      <c r="W50" s="675">
        <f t="shared" si="4"/>
        <v>-43.867162856636547</v>
      </c>
      <c r="X50" s="675">
        <f t="shared" si="4"/>
        <v>-21.933581428318274</v>
      </c>
      <c r="Y50" s="675">
        <f t="shared" si="4"/>
        <v>0</v>
      </c>
      <c r="Z50" s="675">
        <f t="shared" si="4"/>
        <v>0</v>
      </c>
      <c r="AA50" s="675">
        <f t="shared" si="4"/>
        <v>0</v>
      </c>
      <c r="AB50" s="675">
        <f t="shared" si="4"/>
        <v>0</v>
      </c>
      <c r="AC50" s="675">
        <f t="shared" si="4"/>
        <v>0</v>
      </c>
      <c r="AD50" s="675">
        <f t="shared" si="4"/>
        <v>0</v>
      </c>
      <c r="AE50" s="675">
        <f t="shared" si="4"/>
        <v>0</v>
      </c>
      <c r="AF50" s="675">
        <f t="shared" si="4"/>
        <v>0</v>
      </c>
      <c r="AG50" s="675">
        <f t="shared" si="4"/>
        <v>0</v>
      </c>
      <c r="AH50" s="675">
        <f t="shared" si="4"/>
        <v>0</v>
      </c>
      <c r="AI50" s="675">
        <f t="shared" si="4"/>
        <v>0</v>
      </c>
      <c r="AJ50" s="675">
        <f t="shared" si="4"/>
        <v>0</v>
      </c>
      <c r="AK50" s="675">
        <f t="shared" si="4"/>
        <v>0</v>
      </c>
      <c r="AL50" s="675">
        <f t="shared" si="4"/>
        <v>0</v>
      </c>
      <c r="AM50" s="675">
        <f t="shared" si="4"/>
        <v>0</v>
      </c>
      <c r="AN50" s="675">
        <f t="shared" si="4"/>
        <v>0</v>
      </c>
      <c r="AO50" s="675">
        <f t="shared" si="4"/>
        <v>0</v>
      </c>
      <c r="AP50" s="675">
        <f t="shared" si="4"/>
        <v>0</v>
      </c>
      <c r="AQ50" s="675">
        <f t="shared" si="4"/>
        <v>0</v>
      </c>
      <c r="AR50" s="675">
        <f t="shared" si="4"/>
        <v>0</v>
      </c>
      <c r="AS50" s="675">
        <f t="shared" si="4"/>
        <v>0</v>
      </c>
      <c r="AT50" s="675">
        <f t="shared" si="4"/>
        <v>0</v>
      </c>
      <c r="AU50" s="675">
        <f t="shared" si="4"/>
        <v>0</v>
      </c>
      <c r="AV50" s="676">
        <f t="shared" si="4"/>
        <v>0</v>
      </c>
    </row>
    <row r="51" spans="2:48" s="15" customFormat="1" ht="13.5" outlineLevel="1" x14ac:dyDescent="0.25">
      <c r="B51" s="817" t="s">
        <v>1324</v>
      </c>
      <c r="C51" s="818" t="s">
        <v>1243</v>
      </c>
      <c r="D51" s="675">
        <f t="shared" ref="D51:AV51" si="5">D47*$C$21/1000</f>
        <v>0</v>
      </c>
      <c r="E51" s="675">
        <f t="shared" si="5"/>
        <v>0</v>
      </c>
      <c r="F51" s="675">
        <f t="shared" si="5"/>
        <v>0</v>
      </c>
      <c r="G51" s="675">
        <f t="shared" si="5"/>
        <v>0</v>
      </c>
      <c r="H51" s="675">
        <f t="shared" si="5"/>
        <v>-5.1608426890160635</v>
      </c>
      <c r="I51" s="675">
        <f t="shared" si="5"/>
        <v>-10.321685378032127</v>
      </c>
      <c r="J51" s="675">
        <f t="shared" si="5"/>
        <v>-15.482528067048191</v>
      </c>
      <c r="K51" s="675">
        <f t="shared" si="5"/>
        <v>-20.643370756064254</v>
      </c>
      <c r="L51" s="675">
        <f t="shared" si="5"/>
        <v>-25.804213445080318</v>
      </c>
      <c r="M51" s="675">
        <f t="shared" si="5"/>
        <v>-30.965056134096383</v>
      </c>
      <c r="N51" s="675">
        <f t="shared" si="5"/>
        <v>-30.965056134096383</v>
      </c>
      <c r="O51" s="675">
        <f t="shared" si="5"/>
        <v>-30.965056134096383</v>
      </c>
      <c r="P51" s="675">
        <f t="shared" si="5"/>
        <v>-30.965056134096383</v>
      </c>
      <c r="Q51" s="675">
        <f t="shared" si="5"/>
        <v>-30.965056134096383</v>
      </c>
      <c r="R51" s="675">
        <f t="shared" si="5"/>
        <v>-30.965056134096383</v>
      </c>
      <c r="S51" s="675">
        <f t="shared" si="5"/>
        <v>-30.965056134096383</v>
      </c>
      <c r="T51" s="675">
        <f t="shared" si="5"/>
        <v>-25.804213445080318</v>
      </c>
      <c r="U51" s="675">
        <f t="shared" si="5"/>
        <v>-20.643370756064254</v>
      </c>
      <c r="V51" s="675">
        <f t="shared" si="5"/>
        <v>-15.482528067048191</v>
      </c>
      <c r="W51" s="675">
        <f t="shared" si="5"/>
        <v>-10.321685378032129</v>
      </c>
      <c r="X51" s="675">
        <f t="shared" si="5"/>
        <v>-5.1608426890160652</v>
      </c>
      <c r="Y51" s="675">
        <f t="shared" si="5"/>
        <v>0</v>
      </c>
      <c r="Z51" s="675">
        <f t="shared" si="5"/>
        <v>0</v>
      </c>
      <c r="AA51" s="675">
        <f t="shared" si="5"/>
        <v>0</v>
      </c>
      <c r="AB51" s="675">
        <f t="shared" si="5"/>
        <v>0</v>
      </c>
      <c r="AC51" s="675">
        <f t="shared" si="5"/>
        <v>0</v>
      </c>
      <c r="AD51" s="675">
        <f t="shared" si="5"/>
        <v>0</v>
      </c>
      <c r="AE51" s="675">
        <f t="shared" si="5"/>
        <v>0</v>
      </c>
      <c r="AF51" s="675">
        <f t="shared" si="5"/>
        <v>0</v>
      </c>
      <c r="AG51" s="675">
        <f t="shared" si="5"/>
        <v>0</v>
      </c>
      <c r="AH51" s="675">
        <f t="shared" si="5"/>
        <v>0</v>
      </c>
      <c r="AI51" s="675">
        <f t="shared" si="5"/>
        <v>0</v>
      </c>
      <c r="AJ51" s="675">
        <f t="shared" si="5"/>
        <v>0</v>
      </c>
      <c r="AK51" s="675">
        <f t="shared" si="5"/>
        <v>0</v>
      </c>
      <c r="AL51" s="675">
        <f t="shared" si="5"/>
        <v>0</v>
      </c>
      <c r="AM51" s="675">
        <f t="shared" si="5"/>
        <v>0</v>
      </c>
      <c r="AN51" s="675">
        <f t="shared" si="5"/>
        <v>0</v>
      </c>
      <c r="AO51" s="675">
        <f t="shared" si="5"/>
        <v>0</v>
      </c>
      <c r="AP51" s="675">
        <f t="shared" si="5"/>
        <v>0</v>
      </c>
      <c r="AQ51" s="675">
        <f t="shared" si="5"/>
        <v>0</v>
      </c>
      <c r="AR51" s="675">
        <f t="shared" si="5"/>
        <v>0</v>
      </c>
      <c r="AS51" s="675">
        <f t="shared" si="5"/>
        <v>0</v>
      </c>
      <c r="AT51" s="675">
        <f t="shared" si="5"/>
        <v>0</v>
      </c>
      <c r="AU51" s="675">
        <f t="shared" si="5"/>
        <v>0</v>
      </c>
      <c r="AV51" s="676">
        <f t="shared" si="5"/>
        <v>0</v>
      </c>
    </row>
    <row r="52" spans="2:48" s="39" customFormat="1" ht="13.5" outlineLevel="1" x14ac:dyDescent="0.25">
      <c r="B52" s="689" t="s">
        <v>1325</v>
      </c>
      <c r="C52" s="693" t="s">
        <v>1243</v>
      </c>
      <c r="D52" s="710">
        <f t="shared" ref="D52:AV52" si="6">SUM(D49:D51)</f>
        <v>0</v>
      </c>
      <c r="E52" s="710">
        <f t="shared" si="6"/>
        <v>0</v>
      </c>
      <c r="F52" s="710">
        <f t="shared" si="6"/>
        <v>0</v>
      </c>
      <c r="G52" s="710">
        <f t="shared" si="6"/>
        <v>0</v>
      </c>
      <c r="H52" s="710">
        <f>SUM(H49:H51)</f>
        <v>129.57401465636761</v>
      </c>
      <c r="I52" s="710">
        <f t="shared" si="6"/>
        <v>102.47959053903325</v>
      </c>
      <c r="J52" s="710">
        <f t="shared" si="6"/>
        <v>75.385166421698926</v>
      </c>
      <c r="K52" s="710">
        <f t="shared" si="6"/>
        <v>48.290742304364585</v>
      </c>
      <c r="L52" s="710">
        <f t="shared" si="6"/>
        <v>21.196318187030261</v>
      </c>
      <c r="M52" s="710">
        <f t="shared" si="6"/>
        <v>-5.8981059303040659</v>
      </c>
      <c r="N52" s="710">
        <f t="shared" si="6"/>
        <v>-162.56654470400599</v>
      </c>
      <c r="O52" s="710">
        <f t="shared" si="6"/>
        <v>-162.56654470400599</v>
      </c>
      <c r="P52" s="710">
        <f t="shared" si="6"/>
        <v>-162.56654470400599</v>
      </c>
      <c r="Q52" s="710">
        <f t="shared" si="6"/>
        <v>-162.56654470400599</v>
      </c>
      <c r="R52" s="710">
        <f t="shared" si="6"/>
        <v>-162.56654470400599</v>
      </c>
      <c r="S52" s="710">
        <f t="shared" si="6"/>
        <v>-162.56654470400599</v>
      </c>
      <c r="T52" s="710">
        <f t="shared" si="6"/>
        <v>-135.47212058667165</v>
      </c>
      <c r="U52" s="710">
        <f t="shared" si="6"/>
        <v>-108.37769646933734</v>
      </c>
      <c r="V52" s="710">
        <f t="shared" si="6"/>
        <v>-81.283272352002996</v>
      </c>
      <c r="W52" s="710">
        <f t="shared" si="6"/>
        <v>-54.188848234668676</v>
      </c>
      <c r="X52" s="710">
        <f t="shared" si="6"/>
        <v>-27.094424117334338</v>
      </c>
      <c r="Y52" s="710">
        <f t="shared" si="6"/>
        <v>0</v>
      </c>
      <c r="Z52" s="710">
        <f t="shared" si="6"/>
        <v>0</v>
      </c>
      <c r="AA52" s="710">
        <f t="shared" si="6"/>
        <v>0</v>
      </c>
      <c r="AB52" s="710">
        <f t="shared" si="6"/>
        <v>0</v>
      </c>
      <c r="AC52" s="710">
        <f t="shared" si="6"/>
        <v>0</v>
      </c>
      <c r="AD52" s="710">
        <f t="shared" si="6"/>
        <v>0</v>
      </c>
      <c r="AE52" s="710">
        <f t="shared" si="6"/>
        <v>0</v>
      </c>
      <c r="AF52" s="710">
        <f t="shared" si="6"/>
        <v>0</v>
      </c>
      <c r="AG52" s="710">
        <f t="shared" si="6"/>
        <v>0</v>
      </c>
      <c r="AH52" s="710">
        <f t="shared" si="6"/>
        <v>0</v>
      </c>
      <c r="AI52" s="710">
        <f t="shared" si="6"/>
        <v>0</v>
      </c>
      <c r="AJ52" s="710">
        <f t="shared" si="6"/>
        <v>0</v>
      </c>
      <c r="AK52" s="710">
        <f t="shared" si="6"/>
        <v>0</v>
      </c>
      <c r="AL52" s="710">
        <f t="shared" si="6"/>
        <v>0</v>
      </c>
      <c r="AM52" s="710">
        <f t="shared" si="6"/>
        <v>0</v>
      </c>
      <c r="AN52" s="710">
        <f t="shared" si="6"/>
        <v>0</v>
      </c>
      <c r="AO52" s="710">
        <f t="shared" si="6"/>
        <v>0</v>
      </c>
      <c r="AP52" s="710">
        <f t="shared" si="6"/>
        <v>0</v>
      </c>
      <c r="AQ52" s="710">
        <f t="shared" si="6"/>
        <v>0</v>
      </c>
      <c r="AR52" s="710">
        <f t="shared" si="6"/>
        <v>0</v>
      </c>
      <c r="AS52" s="710">
        <f t="shared" si="6"/>
        <v>0</v>
      </c>
      <c r="AT52" s="710">
        <f t="shared" si="6"/>
        <v>0</v>
      </c>
      <c r="AU52" s="710">
        <f t="shared" si="6"/>
        <v>0</v>
      </c>
      <c r="AV52" s="426">
        <f t="shared" si="6"/>
        <v>0</v>
      </c>
    </row>
    <row r="53" spans="2:48" s="15" customFormat="1" ht="13.5" outlineLevel="1" x14ac:dyDescent="0.25">
      <c r="B53" s="817" t="s">
        <v>1326</v>
      </c>
      <c r="C53" s="818" t="s">
        <v>1327</v>
      </c>
      <c r="D53" s="675">
        <f t="shared" ref="D53:AV53" si="7">D47*$C$16/100*$Q$16/1000</f>
        <v>0</v>
      </c>
      <c r="E53" s="675">
        <f t="shared" si="7"/>
        <v>0</v>
      </c>
      <c r="F53" s="675">
        <f t="shared" si="7"/>
        <v>0</v>
      </c>
      <c r="G53" s="675">
        <f t="shared" si="7"/>
        <v>0</v>
      </c>
      <c r="H53" s="675">
        <f t="shared" si="7"/>
        <v>31.333687754740385</v>
      </c>
      <c r="I53" s="675">
        <f t="shared" si="7"/>
        <v>62.66737550948077</v>
      </c>
      <c r="J53" s="675">
        <f t="shared" si="7"/>
        <v>94.001063264221159</v>
      </c>
      <c r="K53" s="675">
        <f t="shared" si="7"/>
        <v>125.33475101896154</v>
      </c>
      <c r="L53" s="675">
        <f t="shared" si="7"/>
        <v>156.66843877370192</v>
      </c>
      <c r="M53" s="675">
        <f t="shared" si="7"/>
        <v>188.00212652844232</v>
      </c>
      <c r="N53" s="675">
        <f t="shared" si="7"/>
        <v>188.00212652844232</v>
      </c>
      <c r="O53" s="675">
        <f t="shared" si="7"/>
        <v>188.00212652844232</v>
      </c>
      <c r="P53" s="675">
        <f t="shared" si="7"/>
        <v>188.00212652844232</v>
      </c>
      <c r="Q53" s="675">
        <f t="shared" si="7"/>
        <v>188.00212652844232</v>
      </c>
      <c r="R53" s="675">
        <f t="shared" si="7"/>
        <v>188.00212652844232</v>
      </c>
      <c r="S53" s="675">
        <f t="shared" si="7"/>
        <v>188.00212652844232</v>
      </c>
      <c r="T53" s="675">
        <f t="shared" si="7"/>
        <v>156.66843877370192</v>
      </c>
      <c r="U53" s="675">
        <f t="shared" si="7"/>
        <v>125.33475101896154</v>
      </c>
      <c r="V53" s="675">
        <f t="shared" si="7"/>
        <v>94.001063264221159</v>
      </c>
      <c r="W53" s="675">
        <f t="shared" si="7"/>
        <v>62.667375509480777</v>
      </c>
      <c r="X53" s="675">
        <f t="shared" si="7"/>
        <v>31.333687754740389</v>
      </c>
      <c r="Y53" s="675">
        <f t="shared" si="7"/>
        <v>0</v>
      </c>
      <c r="Z53" s="675">
        <f t="shared" si="7"/>
        <v>0</v>
      </c>
      <c r="AA53" s="675">
        <f t="shared" si="7"/>
        <v>0</v>
      </c>
      <c r="AB53" s="675">
        <f t="shared" si="7"/>
        <v>0</v>
      </c>
      <c r="AC53" s="675">
        <f t="shared" si="7"/>
        <v>0</v>
      </c>
      <c r="AD53" s="675">
        <f t="shared" si="7"/>
        <v>0</v>
      </c>
      <c r="AE53" s="675">
        <f t="shared" si="7"/>
        <v>0</v>
      </c>
      <c r="AF53" s="675">
        <f t="shared" si="7"/>
        <v>0</v>
      </c>
      <c r="AG53" s="675">
        <f t="shared" si="7"/>
        <v>0</v>
      </c>
      <c r="AH53" s="675">
        <f t="shared" si="7"/>
        <v>0</v>
      </c>
      <c r="AI53" s="675">
        <f t="shared" si="7"/>
        <v>0</v>
      </c>
      <c r="AJ53" s="675">
        <f t="shared" si="7"/>
        <v>0</v>
      </c>
      <c r="AK53" s="675">
        <f t="shared" si="7"/>
        <v>0</v>
      </c>
      <c r="AL53" s="675">
        <f t="shared" si="7"/>
        <v>0</v>
      </c>
      <c r="AM53" s="675">
        <f t="shared" si="7"/>
        <v>0</v>
      </c>
      <c r="AN53" s="675">
        <f t="shared" si="7"/>
        <v>0</v>
      </c>
      <c r="AO53" s="675">
        <f t="shared" si="7"/>
        <v>0</v>
      </c>
      <c r="AP53" s="675">
        <f t="shared" si="7"/>
        <v>0</v>
      </c>
      <c r="AQ53" s="675">
        <f t="shared" si="7"/>
        <v>0</v>
      </c>
      <c r="AR53" s="675">
        <f t="shared" si="7"/>
        <v>0</v>
      </c>
      <c r="AS53" s="675">
        <f t="shared" si="7"/>
        <v>0</v>
      </c>
      <c r="AT53" s="675">
        <f t="shared" si="7"/>
        <v>0</v>
      </c>
      <c r="AU53" s="675">
        <f t="shared" si="7"/>
        <v>0</v>
      </c>
      <c r="AV53" s="676">
        <f t="shared" si="7"/>
        <v>0</v>
      </c>
    </row>
    <row r="54" spans="2:48" s="15" customFormat="1" ht="13.5" outlineLevel="1" x14ac:dyDescent="0.25">
      <c r="B54" s="817" t="s">
        <v>1328</v>
      </c>
      <c r="C54" s="818" t="s">
        <v>659</v>
      </c>
      <c r="D54" s="675">
        <f t="shared" ref="D54:AV54" si="8">D47*$C$16/100*$Q$17/1000</f>
        <v>0</v>
      </c>
      <c r="E54" s="675">
        <f t="shared" si="8"/>
        <v>0</v>
      </c>
      <c r="F54" s="675">
        <f t="shared" si="8"/>
        <v>0</v>
      </c>
      <c r="G54" s="675">
        <f t="shared" si="8"/>
        <v>0</v>
      </c>
      <c r="H54" s="675">
        <f t="shared" si="8"/>
        <v>78.334219386850961</v>
      </c>
      <c r="I54" s="675">
        <f t="shared" si="8"/>
        <v>156.66843877370192</v>
      </c>
      <c r="J54" s="675">
        <f t="shared" si="8"/>
        <v>235.0026581605529</v>
      </c>
      <c r="K54" s="675">
        <f t="shared" si="8"/>
        <v>313.33687754740384</v>
      </c>
      <c r="L54" s="675">
        <f t="shared" si="8"/>
        <v>391.67109693425482</v>
      </c>
      <c r="M54" s="675">
        <f t="shared" si="8"/>
        <v>470.00531632110579</v>
      </c>
      <c r="N54" s="675">
        <f t="shared" si="8"/>
        <v>470.00531632110579</v>
      </c>
      <c r="O54" s="675">
        <f t="shared" si="8"/>
        <v>470.00531632110579</v>
      </c>
      <c r="P54" s="675">
        <f t="shared" si="8"/>
        <v>470.00531632110579</v>
      </c>
      <c r="Q54" s="675">
        <f t="shared" si="8"/>
        <v>470.00531632110579</v>
      </c>
      <c r="R54" s="675">
        <f t="shared" si="8"/>
        <v>470.00531632110579</v>
      </c>
      <c r="S54" s="675">
        <f t="shared" si="8"/>
        <v>470.00531632110579</v>
      </c>
      <c r="T54" s="675">
        <f t="shared" si="8"/>
        <v>391.67109693425482</v>
      </c>
      <c r="U54" s="675">
        <f t="shared" si="8"/>
        <v>313.33687754740384</v>
      </c>
      <c r="V54" s="675">
        <f t="shared" si="8"/>
        <v>235.0026581605529</v>
      </c>
      <c r="W54" s="675">
        <f t="shared" si="8"/>
        <v>156.66843877370195</v>
      </c>
      <c r="X54" s="675">
        <f t="shared" si="8"/>
        <v>78.334219386850975</v>
      </c>
      <c r="Y54" s="675">
        <f t="shared" si="8"/>
        <v>0</v>
      </c>
      <c r="Z54" s="675">
        <f t="shared" si="8"/>
        <v>0</v>
      </c>
      <c r="AA54" s="675">
        <f t="shared" si="8"/>
        <v>0</v>
      </c>
      <c r="AB54" s="675">
        <f t="shared" si="8"/>
        <v>0</v>
      </c>
      <c r="AC54" s="675">
        <f t="shared" si="8"/>
        <v>0</v>
      </c>
      <c r="AD54" s="675">
        <f t="shared" si="8"/>
        <v>0</v>
      </c>
      <c r="AE54" s="675">
        <f t="shared" si="8"/>
        <v>0</v>
      </c>
      <c r="AF54" s="675">
        <f t="shared" si="8"/>
        <v>0</v>
      </c>
      <c r="AG54" s="675">
        <f t="shared" si="8"/>
        <v>0</v>
      </c>
      <c r="AH54" s="675">
        <f t="shared" si="8"/>
        <v>0</v>
      </c>
      <c r="AI54" s="675">
        <f t="shared" si="8"/>
        <v>0</v>
      </c>
      <c r="AJ54" s="675">
        <f t="shared" si="8"/>
        <v>0</v>
      </c>
      <c r="AK54" s="675">
        <f t="shared" si="8"/>
        <v>0</v>
      </c>
      <c r="AL54" s="675">
        <f t="shared" si="8"/>
        <v>0</v>
      </c>
      <c r="AM54" s="675">
        <f t="shared" si="8"/>
        <v>0</v>
      </c>
      <c r="AN54" s="675">
        <f t="shared" si="8"/>
        <v>0</v>
      </c>
      <c r="AO54" s="675">
        <f t="shared" si="8"/>
        <v>0</v>
      </c>
      <c r="AP54" s="675">
        <f t="shared" si="8"/>
        <v>0</v>
      </c>
      <c r="AQ54" s="675">
        <f t="shared" si="8"/>
        <v>0</v>
      </c>
      <c r="AR54" s="675">
        <f t="shared" si="8"/>
        <v>0</v>
      </c>
      <c r="AS54" s="675">
        <f t="shared" si="8"/>
        <v>0</v>
      </c>
      <c r="AT54" s="675">
        <f t="shared" si="8"/>
        <v>0</v>
      </c>
      <c r="AU54" s="675">
        <f t="shared" si="8"/>
        <v>0</v>
      </c>
      <c r="AV54" s="676">
        <f t="shared" si="8"/>
        <v>0</v>
      </c>
    </row>
    <row r="55" spans="2:48" s="39" customFormat="1" ht="13.5" outlineLevel="1" x14ac:dyDescent="0.25">
      <c r="B55" s="689" t="s">
        <v>1261</v>
      </c>
      <c r="C55" s="693" t="s">
        <v>853</v>
      </c>
      <c r="D55" s="710">
        <f>D53*SISENDID!$D$418</f>
        <v>0</v>
      </c>
      <c r="E55" s="710">
        <f>E53*SISENDID!$D$418</f>
        <v>0</v>
      </c>
      <c r="F55" s="710">
        <f>F53*SISENDID!$D$418</f>
        <v>0</v>
      </c>
      <c r="G55" s="710">
        <f>G53*SISENDID!$D$418</f>
        <v>0</v>
      </c>
      <c r="H55" s="710">
        <f>H53*SISENDID!$D$418</f>
        <v>82.950304533616858</v>
      </c>
      <c r="I55" s="710">
        <f>I53*SISENDID!$D$418</f>
        <v>165.90060906723372</v>
      </c>
      <c r="J55" s="710">
        <f>J53*SISENDID!$D$418</f>
        <v>248.85091360085059</v>
      </c>
      <c r="K55" s="710">
        <f>K53*SISENDID!$D$418</f>
        <v>331.80121813446743</v>
      </c>
      <c r="L55" s="710">
        <f>L53*SISENDID!$D$418</f>
        <v>414.75152266808431</v>
      </c>
      <c r="M55" s="710">
        <f>M53*SISENDID!$D$418</f>
        <v>497.70182720170118</v>
      </c>
      <c r="N55" s="710">
        <f>N53*SISENDID!$D$418</f>
        <v>497.70182720170118</v>
      </c>
      <c r="O55" s="710">
        <f>O53*SISENDID!$D$418</f>
        <v>497.70182720170118</v>
      </c>
      <c r="P55" s="710">
        <f>P53*SISENDID!$D$418</f>
        <v>497.70182720170118</v>
      </c>
      <c r="Q55" s="710">
        <f>Q53*SISENDID!$D$418</f>
        <v>497.70182720170118</v>
      </c>
      <c r="R55" s="710">
        <f>R53*SISENDID!$D$418</f>
        <v>497.70182720170118</v>
      </c>
      <c r="S55" s="710">
        <f>S53*SISENDID!$D$418</f>
        <v>497.70182720170118</v>
      </c>
      <c r="T55" s="710">
        <f>T53*SISENDID!$D$418</f>
        <v>414.75152266808431</v>
      </c>
      <c r="U55" s="710">
        <f>U53*SISENDID!$D$418</f>
        <v>331.80121813446743</v>
      </c>
      <c r="V55" s="710">
        <f>V53*SISENDID!$D$418</f>
        <v>248.85091360085059</v>
      </c>
      <c r="W55" s="710">
        <f>W53*SISENDID!$D$418</f>
        <v>165.90060906723375</v>
      </c>
      <c r="X55" s="710">
        <f>X53*SISENDID!$D$418</f>
        <v>82.950304533616873</v>
      </c>
      <c r="Y55" s="710">
        <f>Y53*SISENDID!$D$418</f>
        <v>0</v>
      </c>
      <c r="Z55" s="710">
        <f>Z53*SISENDID!$D$418</f>
        <v>0</v>
      </c>
      <c r="AA55" s="710">
        <f>AA53*SISENDID!$D$418</f>
        <v>0</v>
      </c>
      <c r="AB55" s="710">
        <f>AB53*SISENDID!$D$418</f>
        <v>0</v>
      </c>
      <c r="AC55" s="710">
        <f>AC53*SISENDID!$D$418</f>
        <v>0</v>
      </c>
      <c r="AD55" s="710">
        <f>AD53*SISENDID!$D$418</f>
        <v>0</v>
      </c>
      <c r="AE55" s="710">
        <f>AE53*SISENDID!$D$418</f>
        <v>0</v>
      </c>
      <c r="AF55" s="710">
        <f>AF53*SISENDID!$D$418</f>
        <v>0</v>
      </c>
      <c r="AG55" s="710">
        <f>AG53*SISENDID!$D$418</f>
        <v>0</v>
      </c>
      <c r="AH55" s="710">
        <f>AH53*SISENDID!$D$418</f>
        <v>0</v>
      </c>
      <c r="AI55" s="710">
        <f>AI53*SISENDID!$D$418</f>
        <v>0</v>
      </c>
      <c r="AJ55" s="710">
        <f>AJ53*SISENDID!$D$418</f>
        <v>0</v>
      </c>
      <c r="AK55" s="710">
        <f>AK53*SISENDID!$D$418</f>
        <v>0</v>
      </c>
      <c r="AL55" s="710">
        <f>AL53*SISENDID!$D$418</f>
        <v>0</v>
      </c>
      <c r="AM55" s="710">
        <f>AM53*SISENDID!$D$418</f>
        <v>0</v>
      </c>
      <c r="AN55" s="710">
        <f>AN53*SISENDID!$D$418</f>
        <v>0</v>
      </c>
      <c r="AO55" s="710">
        <f>AO53*SISENDID!$D$418</f>
        <v>0</v>
      </c>
      <c r="AP55" s="710">
        <f>AP53*SISENDID!$D$418</f>
        <v>0</v>
      </c>
      <c r="AQ55" s="710">
        <f>AQ53*SISENDID!$D$418</f>
        <v>0</v>
      </c>
      <c r="AR55" s="710">
        <f>AR53*SISENDID!$D$418</f>
        <v>0</v>
      </c>
      <c r="AS55" s="710">
        <f>AS53*SISENDID!$D$418</f>
        <v>0</v>
      </c>
      <c r="AT55" s="710">
        <f>AT53*SISENDID!$D$418</f>
        <v>0</v>
      </c>
      <c r="AU55" s="710">
        <f>AU53*SISENDID!$D$418</f>
        <v>0</v>
      </c>
      <c r="AV55" s="426">
        <f>AV53*SISENDID!$D$418</f>
        <v>0</v>
      </c>
    </row>
    <row r="57" spans="2:48" x14ac:dyDescent="0.25">
      <c r="B57" s="125"/>
    </row>
    <row r="58" spans="2:48" x14ac:dyDescent="0.25">
      <c r="B58" s="294"/>
      <c r="C58" s="127"/>
    </row>
    <row r="59" spans="2:48" x14ac:dyDescent="0.25">
      <c r="B59" s="294"/>
      <c r="C59" s="128"/>
    </row>
    <row r="60" spans="2:48" x14ac:dyDescent="0.25">
      <c r="B60" s="294"/>
      <c r="C60" s="128"/>
    </row>
    <row r="61" spans="2:48" x14ac:dyDescent="0.25">
      <c r="B61" s="129"/>
      <c r="C61" s="128"/>
      <c r="D61" s="130"/>
    </row>
    <row r="62" spans="2:48" x14ac:dyDescent="0.25">
      <c r="C62" s="128"/>
      <c r="D62" s="130"/>
    </row>
    <row r="63" spans="2:48" x14ac:dyDescent="0.25">
      <c r="C63" s="128"/>
      <c r="D63" s="131"/>
    </row>
    <row r="64" spans="2:48" x14ac:dyDescent="0.25">
      <c r="C64" s="127"/>
      <c r="D64" s="131"/>
    </row>
    <row r="65" spans="3:4" x14ac:dyDescent="0.25">
      <c r="C65" s="127"/>
      <c r="D65" s="131"/>
    </row>
    <row r="66" spans="3:4" x14ac:dyDescent="0.25">
      <c r="C66" s="127"/>
      <c r="D66" s="131"/>
    </row>
    <row r="67" spans="3:4" x14ac:dyDescent="0.25">
      <c r="C67" s="127"/>
      <c r="D67" s="131"/>
    </row>
  </sheetData>
  <sheetProtection algorithmName="SHA-512" hashValue="XYZrae2t5i6T+8yZaqT4KfwQYui5B69higv1FDxhYyGH94X4BWeNrgoytviccz1JMLC70a/ZAUrAoVlnZrf1Bg==" saltValue="eJmIrDcXOp6DEa45mCxB1A==" spinCount="100000" sheet="1" objects="1" scenarios="1" selectLockedCells="1"/>
  <mergeCells count="1">
    <mergeCell ref="D3:L3"/>
  </mergeCells>
  <conditionalFormatting sqref="C39:C41">
    <cfRule type="containsText" dxfId="17" priority="1" operator="containsText" text="Kõrge">
      <formula>NOT(ISERROR(SEARCH("Kõrge",C39)))</formula>
    </cfRule>
    <cfRule type="containsText" dxfId="16" priority="2" operator="containsText" text="Mõõdukas">
      <formula>NOT(ISERROR(SEARCH("Mõõdukas",C39)))</formula>
    </cfRule>
    <cfRule type="containsText" dxfId="15" priority="3" operator="containsText" text="Madal">
      <formula>NOT(ISERROR(SEARCH("Madal",C39)))</formula>
    </cfRule>
  </conditionalFormatting>
  <dataValidations count="3">
    <dataValidation type="list" allowBlank="1" showInputMessage="1" showErrorMessage="1" sqref="C39" xr:uid="{A3C8174C-5AFE-4B30-86AC-0D017284754C}">
      <formula1>I39:I41</formula1>
    </dataValidation>
    <dataValidation type="list" allowBlank="1" showInputMessage="1" showErrorMessage="1" sqref="C40" xr:uid="{7ADC286F-5D6D-4EBD-94AF-2AE315B8818C}">
      <formula1>I39:I41</formula1>
    </dataValidation>
    <dataValidation type="list" allowBlank="1" showInputMessage="1" showErrorMessage="1" sqref="C41" xr:uid="{E37B95BD-D667-49FB-AF79-816A5A52A4E4}">
      <formula1>I39:I41</formula1>
    </dataValidation>
  </dataValidations>
  <hyperlinks>
    <hyperlink ref="B1" location="MEETMED!A1" display="&lt;-MEETMETE NIMEKIRI" xr:uid="{D59A1C1E-4C63-4255-9083-C6BCA066BA74}"/>
  </hyperlinks>
  <pageMargins left="0.7" right="0.7" top="0.75" bottom="0.75" header="0.3" footer="0.3"/>
  <ignoredErrors>
    <ignoredError sqref="C30" numberStoredAsText="1"/>
  </ignoredErrors>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B0242-CF5C-46E4-9D44-A82E2672CE07}">
  <sheetPr>
    <tabColor theme="5" tint="0.79998168889431442"/>
  </sheetPr>
  <dimension ref="A1:AV86"/>
  <sheetViews>
    <sheetView showGridLines="0" zoomScaleNormal="100" workbookViewId="0">
      <selection activeCell="C31" sqref="C31"/>
    </sheetView>
  </sheetViews>
  <sheetFormatPr defaultColWidth="8.85546875" defaultRowHeight="15" outlineLevelRow="1" x14ac:dyDescent="0.25"/>
  <cols>
    <col min="1" max="1" width="3.28515625" customWidth="1"/>
    <col min="2" max="2" width="44.5703125" customWidth="1"/>
    <col min="3" max="3" width="11.28515625" customWidth="1"/>
    <col min="4" max="4" width="15.710937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34" s="1" customFormat="1" x14ac:dyDescent="0.25">
      <c r="B1" s="32" t="s">
        <v>860</v>
      </c>
      <c r="C1" s="14"/>
      <c r="D1" s="14"/>
      <c r="E1" s="14"/>
      <c r="F1" s="14"/>
      <c r="G1" s="14"/>
      <c r="H1" s="14"/>
      <c r="I1" s="14"/>
      <c r="J1" s="14"/>
      <c r="K1" s="14"/>
      <c r="L1" s="14"/>
    </row>
    <row r="2" spans="1:34" s="1" customFormat="1" ht="6.75" customHeight="1" x14ac:dyDescent="0.25"/>
    <row r="3" spans="1:34" ht="56.25" customHeight="1" x14ac:dyDescent="0.25">
      <c r="A3" s="272" t="s">
        <v>276</v>
      </c>
      <c r="B3" s="988" t="str">
        <f>"MEEDE: "&amp;VLOOKUP(A3,MEETMED!B:G,2,FALSE)</f>
        <v>MEEDE: Sõidukite heidete vähendamine</v>
      </c>
      <c r="C3" s="988"/>
      <c r="D3" s="990" t="str">
        <f>"TEGEVUS: "&amp;VLOOKUP(A3,MEETMED!B:G,3,FALSE)</f>
        <v>TEGEVUS: Korraliku elektriautode laadimise võrgustiku rajamine linna; vesinikuparklate loomine linna; Tallinnas vabakasutuses 50 MW koguvõimsusega laadimistaristu. Kiirlaadijate puhul nt ca 20 laadijat 1000 auto kohta või 1 laadija 10 elektriauto kohta</v>
      </c>
      <c r="E3" s="990"/>
      <c r="F3" s="990"/>
      <c r="G3" s="990"/>
      <c r="H3" s="990"/>
      <c r="I3" s="990"/>
      <c r="J3" s="990"/>
      <c r="K3" s="990"/>
      <c r="L3" s="990"/>
      <c r="M3" s="1"/>
      <c r="N3" s="1"/>
      <c r="O3" s="1"/>
      <c r="P3" s="1"/>
      <c r="Q3" s="1"/>
      <c r="R3" s="1"/>
      <c r="S3" s="1"/>
      <c r="T3" s="1"/>
      <c r="U3" s="1"/>
      <c r="V3" s="1"/>
      <c r="W3" s="1"/>
      <c r="X3" s="1"/>
      <c r="Y3" s="1"/>
      <c r="Z3" s="1"/>
      <c r="AA3" s="1"/>
    </row>
    <row r="4" spans="1:34" s="1" customFormat="1" ht="7.5" customHeight="1" x14ac:dyDescent="0.25">
      <c r="B4" s="33"/>
      <c r="C4" s="33"/>
      <c r="D4" s="33"/>
      <c r="E4" s="33"/>
      <c r="F4" s="33"/>
      <c r="G4" s="33"/>
      <c r="H4" s="33"/>
      <c r="I4" s="33"/>
      <c r="J4" s="33"/>
      <c r="K4" s="33"/>
      <c r="L4" s="33"/>
    </row>
    <row r="5" spans="1:34"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34" s="1" customFormat="1" ht="14.25" customHeight="1" outlineLevel="1" x14ac:dyDescent="0.25">
      <c r="D6" s="2"/>
    </row>
    <row r="7" spans="1:34" s="1" customFormat="1" outlineLevel="1" x14ac:dyDescent="0.25">
      <c r="B7" s="805" t="s">
        <v>1288</v>
      </c>
      <c r="C7" s="902">
        <v>2026</v>
      </c>
      <c r="D7" s="7" t="s">
        <v>863</v>
      </c>
      <c r="K7" s="277" t="s">
        <v>876</v>
      </c>
    </row>
    <row r="8" spans="1:34" s="1" customFormat="1" outlineLevel="1" x14ac:dyDescent="0.25">
      <c r="B8" s="805" t="s">
        <v>1289</v>
      </c>
      <c r="C8" s="902">
        <v>2040</v>
      </c>
      <c r="D8" s="7" t="s">
        <v>863</v>
      </c>
      <c r="K8" s="893" t="s">
        <v>1670</v>
      </c>
      <c r="L8" s="305" t="s">
        <v>877</v>
      </c>
    </row>
    <row r="9" spans="1:34" s="1" customFormat="1" outlineLevel="1" x14ac:dyDescent="0.25">
      <c r="B9" s="805" t="s">
        <v>865</v>
      </c>
      <c r="C9" s="847">
        <f>C8-C7+1</f>
        <v>15</v>
      </c>
      <c r="D9" s="7" t="s">
        <v>863</v>
      </c>
      <c r="E9" s="7"/>
      <c r="F9" s="7"/>
      <c r="G9" s="7"/>
      <c r="H9" s="7"/>
      <c r="I9" s="7"/>
      <c r="J9" s="7"/>
      <c r="K9" s="892" t="s">
        <v>878</v>
      </c>
      <c r="L9" s="305" t="s">
        <v>1669</v>
      </c>
    </row>
    <row r="10" spans="1:34" s="1" customFormat="1" outlineLevel="1" x14ac:dyDescent="0.25">
      <c r="B10" s="805" t="s">
        <v>1532</v>
      </c>
      <c r="C10" s="903">
        <v>140</v>
      </c>
      <c r="D10" s="7" t="s">
        <v>1533</v>
      </c>
      <c r="E10" s="355"/>
      <c r="F10" s="283" t="s">
        <v>1534</v>
      </c>
      <c r="G10" s="7"/>
      <c r="H10" s="7"/>
      <c r="I10" s="7"/>
      <c r="J10" s="7"/>
      <c r="K10" s="892" t="s">
        <v>1671</v>
      </c>
      <c r="L10" s="228">
        <v>1234</v>
      </c>
    </row>
    <row r="11" spans="1:34" s="1" customFormat="1" outlineLevel="1" x14ac:dyDescent="0.25">
      <c r="B11" s="805" t="s">
        <v>1535</v>
      </c>
      <c r="C11" s="904">
        <v>0.5</v>
      </c>
      <c r="D11" s="7"/>
      <c r="E11" s="355"/>
      <c r="F11" s="283" t="s">
        <v>1536</v>
      </c>
      <c r="G11" s="7"/>
      <c r="H11" s="7"/>
      <c r="I11" s="7"/>
      <c r="J11" s="7"/>
      <c r="K11" s="7"/>
      <c r="L11" s="7"/>
    </row>
    <row r="12" spans="1:34" s="1" customFormat="1" outlineLevel="1" x14ac:dyDescent="0.25">
      <c r="B12" s="805" t="s">
        <v>1537</v>
      </c>
      <c r="C12" s="903">
        <v>20</v>
      </c>
      <c r="D12" s="7" t="s">
        <v>1538</v>
      </c>
      <c r="E12" s="355"/>
      <c r="F12" s="283" t="s">
        <v>1539</v>
      </c>
      <c r="G12" s="7"/>
      <c r="H12" s="7"/>
      <c r="I12" s="7"/>
      <c r="J12" s="7"/>
      <c r="K12" s="7"/>
      <c r="L12" s="7"/>
    </row>
    <row r="13" spans="1:34" s="1" customFormat="1" outlineLevel="1" x14ac:dyDescent="0.25">
      <c r="B13" s="805" t="s">
        <v>1540</v>
      </c>
      <c r="C13" s="905">
        <v>3.5</v>
      </c>
      <c r="D13" s="7" t="s">
        <v>1033</v>
      </c>
      <c r="E13" s="355"/>
      <c r="F13" s="283" t="s">
        <v>1539</v>
      </c>
      <c r="G13" s="7"/>
      <c r="H13" s="7"/>
      <c r="I13" s="7"/>
      <c r="J13" s="7"/>
      <c r="K13" s="7"/>
      <c r="L13" s="7"/>
    </row>
    <row r="14" spans="1:34" s="1" customFormat="1" outlineLevel="1" x14ac:dyDescent="0.25">
      <c r="B14" s="805" t="s">
        <v>1541</v>
      </c>
      <c r="C14" s="906">
        <v>0.04</v>
      </c>
      <c r="D14" s="7" t="s">
        <v>1542</v>
      </c>
      <c r="E14" s="355"/>
      <c r="F14" s="283" t="s">
        <v>1539</v>
      </c>
      <c r="G14" s="7"/>
      <c r="H14" s="7"/>
      <c r="I14" s="7"/>
      <c r="J14" s="7"/>
      <c r="K14" s="7"/>
      <c r="L14" s="7"/>
    </row>
    <row r="15" spans="1:34" s="1" customFormat="1" outlineLevel="1" x14ac:dyDescent="0.25">
      <c r="B15" s="805" t="s">
        <v>1543</v>
      </c>
      <c r="C15" s="905">
        <v>3</v>
      </c>
      <c r="D15" s="7" t="s">
        <v>1544</v>
      </c>
      <c r="E15" s="355"/>
      <c r="F15" s="283" t="s">
        <v>1536</v>
      </c>
      <c r="G15" s="7"/>
      <c r="H15" s="7"/>
      <c r="I15" s="7"/>
      <c r="J15" s="7"/>
      <c r="K15" s="7"/>
      <c r="L15" s="7"/>
    </row>
    <row r="16" spans="1:34" s="5" customFormat="1" outlineLevel="1" x14ac:dyDescent="0.25">
      <c r="A16" s="1"/>
      <c r="B16" s="805" t="s">
        <v>1545</v>
      </c>
      <c r="C16" s="907">
        <v>150</v>
      </c>
      <c r="D16" s="7" t="s">
        <v>1546</v>
      </c>
      <c r="E16" s="355"/>
      <c r="F16" s="283" t="s">
        <v>1547</v>
      </c>
      <c r="G16" s="7"/>
      <c r="H16" s="7"/>
      <c r="I16" s="7"/>
      <c r="J16" s="7"/>
      <c r="K16" s="7"/>
      <c r="L16" s="7"/>
      <c r="M16" s="1"/>
      <c r="N16" s="1"/>
      <c r="O16" s="1"/>
      <c r="P16" s="1"/>
      <c r="Q16" s="1"/>
      <c r="R16" s="1"/>
      <c r="S16" s="1"/>
      <c r="T16" s="1"/>
      <c r="U16" s="1"/>
      <c r="V16" s="1"/>
      <c r="W16" s="1"/>
      <c r="X16" s="1"/>
      <c r="Y16" s="1"/>
      <c r="Z16" s="1"/>
      <c r="AA16" s="1"/>
      <c r="AB16" s="1"/>
      <c r="AC16" s="1"/>
      <c r="AD16" s="1"/>
      <c r="AE16" s="1"/>
      <c r="AF16" s="1"/>
      <c r="AG16" s="1"/>
      <c r="AH16" s="1"/>
    </row>
    <row r="17" spans="1:34" s="5" customFormat="1" outlineLevel="1" x14ac:dyDescent="0.25">
      <c r="A17" s="1"/>
      <c r="B17" s="805" t="s">
        <v>1548</v>
      </c>
      <c r="C17" s="907">
        <v>100</v>
      </c>
      <c r="D17" s="7" t="s">
        <v>1011</v>
      </c>
      <c r="E17" s="355"/>
      <c r="F17" s="283" t="s">
        <v>1536</v>
      </c>
      <c r="G17" s="7"/>
      <c r="H17" s="7"/>
      <c r="I17" s="7"/>
      <c r="J17" s="7"/>
      <c r="K17" s="7"/>
      <c r="L17" s="7"/>
      <c r="M17" s="1"/>
      <c r="N17" s="1"/>
      <c r="O17" s="1"/>
      <c r="P17" s="1"/>
      <c r="Q17" s="1"/>
      <c r="R17" s="1"/>
      <c r="S17" s="1"/>
      <c r="T17" s="1"/>
      <c r="U17" s="1"/>
      <c r="V17" s="1"/>
      <c r="W17" s="1"/>
      <c r="X17" s="1"/>
      <c r="Y17" s="1"/>
      <c r="Z17" s="1"/>
      <c r="AA17" s="1"/>
      <c r="AB17" s="1"/>
      <c r="AC17" s="1"/>
      <c r="AD17" s="1"/>
      <c r="AE17" s="1"/>
      <c r="AF17" s="1"/>
      <c r="AG17" s="1"/>
      <c r="AH17" s="1"/>
    </row>
    <row r="18" spans="1:34" s="5" customFormat="1" outlineLevel="1" x14ac:dyDescent="0.25">
      <c r="A18" s="1"/>
      <c r="B18" s="805" t="s">
        <v>1549</v>
      </c>
      <c r="C18" s="908">
        <v>0.1</v>
      </c>
      <c r="D18" s="7" t="s">
        <v>1550</v>
      </c>
      <c r="E18" s="355"/>
      <c r="F18" s="283" t="s">
        <v>1539</v>
      </c>
      <c r="G18" s="7"/>
      <c r="H18" s="7"/>
      <c r="I18" s="7"/>
      <c r="J18" s="7"/>
      <c r="K18" s="7"/>
      <c r="L18" s="7"/>
      <c r="M18" s="1"/>
      <c r="N18" s="1"/>
      <c r="O18" s="1"/>
      <c r="P18" s="1"/>
      <c r="Q18" s="1"/>
      <c r="R18" s="1"/>
      <c r="S18" s="1"/>
      <c r="T18" s="1"/>
      <c r="U18" s="1"/>
      <c r="V18" s="1"/>
      <c r="W18" s="1"/>
      <c r="X18" s="1"/>
      <c r="Y18" s="1"/>
      <c r="Z18" s="1"/>
      <c r="AA18" s="1"/>
      <c r="AB18" s="1"/>
      <c r="AC18" s="1"/>
      <c r="AD18" s="1"/>
      <c r="AE18" s="1"/>
      <c r="AF18" s="1"/>
      <c r="AG18" s="1"/>
      <c r="AH18" s="1"/>
    </row>
    <row r="19" spans="1:34" s="5" customFormat="1" outlineLevel="1" x14ac:dyDescent="0.25">
      <c r="A19" s="1"/>
      <c r="B19" s="805" t="s">
        <v>1551</v>
      </c>
      <c r="C19" s="907">
        <v>100</v>
      </c>
      <c r="D19" s="7" t="s">
        <v>1011</v>
      </c>
      <c r="E19" s="355"/>
      <c r="F19" s="283" t="s">
        <v>1536</v>
      </c>
      <c r="G19" s="7"/>
      <c r="H19" s="7"/>
      <c r="I19" s="7"/>
      <c r="J19" s="7"/>
      <c r="K19" s="7"/>
      <c r="L19" s="7"/>
      <c r="M19" s="1"/>
      <c r="N19" s="1"/>
      <c r="O19" s="1"/>
      <c r="P19" s="1"/>
      <c r="Q19" s="1"/>
      <c r="R19" s="1"/>
      <c r="S19" s="1"/>
      <c r="T19" s="1"/>
      <c r="U19" s="1"/>
      <c r="V19" s="1"/>
      <c r="W19" s="1"/>
      <c r="X19" s="1"/>
      <c r="Y19" s="1"/>
      <c r="Z19" s="1"/>
      <c r="AA19" s="1"/>
      <c r="AB19" s="1"/>
      <c r="AC19" s="1"/>
      <c r="AD19" s="1"/>
      <c r="AE19" s="1"/>
      <c r="AF19" s="1"/>
      <c r="AG19" s="1"/>
      <c r="AH19" s="1"/>
    </row>
    <row r="20" spans="1:34" s="5" customFormat="1" ht="6.75" customHeight="1" outlineLevel="1" x14ac:dyDescent="0.25">
      <c r="A20" s="1"/>
      <c r="B20" s="805"/>
      <c r="C20" s="805"/>
      <c r="D20" s="7"/>
      <c r="E20" s="7"/>
      <c r="F20" s="283"/>
      <c r="G20" s="7"/>
      <c r="H20" s="7"/>
      <c r="I20" s="7"/>
      <c r="J20" s="7"/>
      <c r="K20" s="7"/>
      <c r="L20" s="7"/>
      <c r="M20" s="1"/>
      <c r="N20" s="1"/>
      <c r="O20" s="1"/>
      <c r="P20" s="1"/>
      <c r="Q20" s="1"/>
      <c r="R20" s="1"/>
      <c r="S20" s="1"/>
      <c r="T20" s="1"/>
      <c r="U20" s="1"/>
      <c r="V20" s="1"/>
      <c r="W20" s="1"/>
      <c r="X20" s="1"/>
      <c r="Y20" s="1"/>
      <c r="Z20" s="1"/>
      <c r="AA20" s="1"/>
      <c r="AB20" s="1"/>
      <c r="AC20" s="1"/>
      <c r="AD20" s="1"/>
      <c r="AE20" s="1"/>
      <c r="AF20" s="1"/>
      <c r="AG20" s="1"/>
      <c r="AH20" s="1"/>
    </row>
    <row r="21" spans="1:34" s="5" customFormat="1" outlineLevel="1" x14ac:dyDescent="0.25">
      <c r="A21" s="1"/>
      <c r="B21" s="805" t="s">
        <v>1552</v>
      </c>
      <c r="C21" s="907">
        <v>10</v>
      </c>
      <c r="D21" s="7" t="s">
        <v>1553</v>
      </c>
      <c r="E21" s="7"/>
      <c r="F21" s="283" t="s">
        <v>1554</v>
      </c>
      <c r="G21" s="7"/>
      <c r="H21" s="7"/>
      <c r="I21" s="7"/>
      <c r="J21" s="7"/>
      <c r="K21" s="7"/>
      <c r="L21" s="7"/>
      <c r="M21" s="1"/>
      <c r="N21" s="1"/>
      <c r="O21" s="1"/>
      <c r="P21" s="1"/>
      <c r="Q21" s="1"/>
      <c r="R21" s="1"/>
      <c r="S21" s="1"/>
      <c r="T21" s="1"/>
      <c r="U21" s="1"/>
      <c r="V21" s="1"/>
      <c r="W21" s="1"/>
      <c r="X21" s="1"/>
      <c r="Y21" s="1"/>
      <c r="Z21" s="1"/>
      <c r="AA21" s="1"/>
      <c r="AB21" s="1"/>
      <c r="AC21" s="1"/>
      <c r="AD21" s="1"/>
      <c r="AE21" s="1"/>
      <c r="AF21" s="1"/>
      <c r="AG21" s="1"/>
      <c r="AH21" s="1"/>
    </row>
    <row r="22" spans="1:34" s="5" customFormat="1" outlineLevel="1" x14ac:dyDescent="0.25">
      <c r="A22" s="1"/>
      <c r="B22" s="279" t="s">
        <v>1555</v>
      </c>
      <c r="C22" s="7"/>
      <c r="D22" s="7"/>
      <c r="E22" s="7"/>
      <c r="F22" s="283"/>
      <c r="G22" s="7"/>
      <c r="H22" s="7"/>
      <c r="I22" s="7"/>
      <c r="J22" s="7"/>
      <c r="K22" s="7"/>
      <c r="L22" s="7"/>
      <c r="M22" s="1"/>
      <c r="N22" s="1"/>
      <c r="O22" s="1"/>
      <c r="P22" s="1"/>
      <c r="Q22" s="1"/>
      <c r="R22" s="1"/>
      <c r="S22" s="1"/>
      <c r="T22" s="1"/>
      <c r="U22" s="1"/>
      <c r="V22" s="1"/>
      <c r="W22" s="1"/>
      <c r="X22" s="1"/>
      <c r="Y22" s="1"/>
      <c r="Z22" s="1"/>
      <c r="AA22" s="1"/>
      <c r="AB22" s="1"/>
      <c r="AC22" s="1"/>
      <c r="AD22" s="1"/>
      <c r="AE22" s="1"/>
      <c r="AF22" s="1"/>
      <c r="AG22" s="1"/>
      <c r="AH22" s="1"/>
    </row>
    <row r="23" spans="1:34" s="5" customFormat="1" outlineLevel="1" x14ac:dyDescent="0.25">
      <c r="A23" s="1"/>
      <c r="B23" s="845" t="s">
        <v>1556</v>
      </c>
      <c r="C23" s="854" t="s">
        <v>1557</v>
      </c>
      <c r="D23" s="805" t="s">
        <v>1558</v>
      </c>
      <c r="E23" s="355"/>
      <c r="F23" s="283" t="s">
        <v>1536</v>
      </c>
      <c r="G23" s="7"/>
      <c r="H23" s="7"/>
      <c r="I23" s="7"/>
      <c r="J23" s="7"/>
      <c r="K23" s="7"/>
      <c r="L23" s="7"/>
      <c r="M23" s="1"/>
      <c r="N23" s="1"/>
      <c r="O23" s="1"/>
      <c r="P23" s="1"/>
      <c r="Q23" s="1"/>
      <c r="R23" s="1"/>
      <c r="S23" s="1"/>
      <c r="T23" s="1"/>
      <c r="U23" s="1"/>
      <c r="V23" s="1"/>
      <c r="W23" s="1"/>
      <c r="X23" s="1"/>
      <c r="Y23" s="1"/>
      <c r="Z23" s="1"/>
      <c r="AA23" s="1"/>
      <c r="AB23" s="1"/>
      <c r="AC23" s="1"/>
      <c r="AD23" s="1"/>
      <c r="AE23" s="1"/>
      <c r="AF23" s="1"/>
      <c r="AG23" s="1"/>
      <c r="AH23" s="1"/>
    </row>
    <row r="24" spans="1:34" s="5" customFormat="1" outlineLevel="1" x14ac:dyDescent="0.25">
      <c r="A24" s="1"/>
      <c r="B24" s="909">
        <f>C7</f>
        <v>2026</v>
      </c>
      <c r="C24" s="910">
        <v>25</v>
      </c>
      <c r="D24" s="805" t="s">
        <v>1559</v>
      </c>
      <c r="E24" s="355"/>
      <c r="F24" s="283"/>
      <c r="G24" s="7"/>
      <c r="H24" s="7"/>
      <c r="I24" s="7"/>
      <c r="J24" s="7"/>
      <c r="K24" s="7"/>
      <c r="L24" s="7"/>
      <c r="M24" s="1"/>
      <c r="N24" s="1"/>
      <c r="O24" s="1"/>
      <c r="P24" s="1"/>
      <c r="Q24" s="1"/>
      <c r="R24" s="1"/>
      <c r="S24" s="1"/>
      <c r="T24" s="1"/>
      <c r="U24" s="1"/>
      <c r="V24" s="1"/>
      <c r="W24" s="1"/>
      <c r="X24" s="1"/>
      <c r="Y24" s="1"/>
      <c r="Z24" s="1"/>
      <c r="AA24" s="1"/>
      <c r="AB24" s="1"/>
      <c r="AC24" s="1"/>
      <c r="AD24" s="1"/>
      <c r="AE24" s="1"/>
      <c r="AF24" s="1"/>
      <c r="AG24" s="1"/>
      <c r="AH24" s="1"/>
    </row>
    <row r="25" spans="1:34" s="5" customFormat="1" outlineLevel="1" x14ac:dyDescent="0.25">
      <c r="A25" s="1"/>
      <c r="B25" s="909">
        <v>2030</v>
      </c>
      <c r="C25" s="910">
        <v>40</v>
      </c>
      <c r="D25" s="805" t="s">
        <v>1560</v>
      </c>
      <c r="E25" s="355"/>
      <c r="F25" s="283"/>
      <c r="G25" s="7"/>
      <c r="H25" s="7"/>
      <c r="I25" s="7"/>
      <c r="J25" s="7"/>
      <c r="K25" s="7"/>
      <c r="L25" s="7"/>
      <c r="M25" s="1"/>
      <c r="N25" s="1"/>
      <c r="O25" s="1"/>
      <c r="P25" s="1"/>
      <c r="Q25" s="1"/>
      <c r="R25" s="1"/>
      <c r="S25" s="1"/>
      <c r="T25" s="1"/>
      <c r="U25" s="1"/>
      <c r="V25" s="1"/>
      <c r="W25" s="1"/>
      <c r="X25" s="1"/>
      <c r="Y25" s="1"/>
      <c r="Z25" s="1"/>
      <c r="AA25" s="1"/>
      <c r="AB25" s="1"/>
      <c r="AC25" s="1"/>
      <c r="AD25" s="1"/>
      <c r="AE25" s="1"/>
      <c r="AF25" s="1"/>
      <c r="AG25" s="1"/>
      <c r="AH25" s="1"/>
    </row>
    <row r="26" spans="1:34" s="5" customFormat="1" outlineLevel="1" x14ac:dyDescent="0.25">
      <c r="A26" s="1"/>
      <c r="B26" s="909">
        <v>2035</v>
      </c>
      <c r="C26" s="910">
        <v>60</v>
      </c>
      <c r="D26" s="805" t="s">
        <v>1561</v>
      </c>
      <c r="E26" s="355"/>
      <c r="F26" s="283"/>
      <c r="G26" s="7"/>
      <c r="H26" s="7"/>
      <c r="I26" s="7"/>
      <c r="J26" s="7"/>
      <c r="K26" s="7"/>
      <c r="L26" s="7"/>
      <c r="M26" s="1"/>
      <c r="N26" s="1"/>
      <c r="O26" s="1"/>
      <c r="P26" s="1"/>
      <c r="Q26" s="1"/>
      <c r="R26" s="1"/>
      <c r="S26" s="1"/>
      <c r="T26" s="1"/>
      <c r="U26" s="1"/>
      <c r="V26" s="1"/>
      <c r="W26" s="1"/>
      <c r="X26" s="1"/>
      <c r="Y26" s="1"/>
      <c r="Z26" s="1"/>
      <c r="AA26" s="1"/>
      <c r="AB26" s="1"/>
      <c r="AC26" s="1"/>
      <c r="AD26" s="1"/>
      <c r="AE26" s="1"/>
      <c r="AF26" s="1"/>
      <c r="AG26" s="1"/>
      <c r="AH26" s="1"/>
    </row>
    <row r="27" spans="1:34" s="1" customFormat="1" outlineLevel="1" x14ac:dyDescent="0.25">
      <c r="B27" s="279" t="s">
        <v>1562</v>
      </c>
      <c r="C27" s="7"/>
      <c r="D27" s="7"/>
      <c r="E27" s="7"/>
      <c r="F27" s="283"/>
      <c r="G27" s="7"/>
      <c r="H27" s="7"/>
      <c r="I27" s="7"/>
      <c r="J27" s="7"/>
      <c r="K27" s="7"/>
      <c r="L27" s="7"/>
    </row>
    <row r="28" spans="1:34" s="1" customFormat="1" outlineLevel="1" x14ac:dyDescent="0.25">
      <c r="B28" s="855" t="s">
        <v>1563</v>
      </c>
      <c r="C28" s="805" t="s">
        <v>1564</v>
      </c>
      <c r="D28" s="7"/>
      <c r="E28" s="7"/>
      <c r="F28" s="283" t="s">
        <v>1536</v>
      </c>
      <c r="G28" s="7"/>
      <c r="H28" s="7"/>
      <c r="I28" s="7"/>
      <c r="J28" s="7"/>
      <c r="K28" s="7"/>
      <c r="L28" s="7"/>
    </row>
    <row r="29" spans="1:34" s="1" customFormat="1" outlineLevel="1" x14ac:dyDescent="0.25">
      <c r="B29" s="855">
        <v>1</v>
      </c>
      <c r="C29" s="906">
        <v>0.1</v>
      </c>
      <c r="D29" s="355"/>
      <c r="E29" s="7"/>
      <c r="F29" s="7"/>
      <c r="G29" s="7"/>
      <c r="H29" s="7"/>
      <c r="I29" s="7"/>
      <c r="J29" s="7"/>
      <c r="K29" s="7"/>
      <c r="L29" s="7"/>
    </row>
    <row r="30" spans="1:34" s="1" customFormat="1" outlineLevel="1" x14ac:dyDescent="0.25">
      <c r="B30" s="855">
        <v>2</v>
      </c>
      <c r="C30" s="906">
        <v>0.25</v>
      </c>
      <c r="D30" s="355"/>
      <c r="E30" s="7"/>
      <c r="F30" s="7"/>
      <c r="G30" s="7"/>
      <c r="H30" s="7"/>
      <c r="I30" s="7"/>
      <c r="J30" s="7"/>
      <c r="K30" s="7"/>
      <c r="L30" s="7"/>
    </row>
    <row r="31" spans="1:34" s="1" customFormat="1" outlineLevel="1" x14ac:dyDescent="0.25">
      <c r="B31" s="856">
        <v>3</v>
      </c>
      <c r="C31" s="906">
        <v>0.4</v>
      </c>
      <c r="D31" s="355"/>
    </row>
    <row r="32" spans="1:34" s="1" customFormat="1" outlineLevel="1" x14ac:dyDescent="0.25">
      <c r="B32" s="855">
        <v>4</v>
      </c>
      <c r="C32" s="906">
        <v>0.25</v>
      </c>
      <c r="D32" s="355"/>
      <c r="E32" s="7"/>
    </row>
    <row r="33" spans="1:34" s="1" customFormat="1" x14ac:dyDescent="0.25">
      <c r="B33" s="6"/>
      <c r="C33" s="6"/>
      <c r="D33" s="7"/>
      <c r="E33" s="7"/>
    </row>
    <row r="34" spans="1:34" x14ac:dyDescent="0.25">
      <c r="A34" s="1"/>
      <c r="B34" s="659" t="s">
        <v>895</v>
      </c>
      <c r="C34" s="659"/>
      <c r="D34" s="659"/>
      <c r="E34" s="659"/>
      <c r="F34" s="659"/>
      <c r="G34" s="659"/>
      <c r="H34" s="659"/>
      <c r="I34" s="659"/>
      <c r="J34" s="659"/>
      <c r="K34" s="659"/>
      <c r="L34" s="659"/>
      <c r="M34" s="1"/>
      <c r="N34" s="1"/>
      <c r="O34" s="1"/>
      <c r="P34" s="1"/>
      <c r="Q34" s="1"/>
      <c r="R34" s="1"/>
      <c r="S34" s="1"/>
      <c r="T34" s="1"/>
      <c r="U34" s="1"/>
      <c r="V34" s="1"/>
      <c r="W34" s="1"/>
      <c r="X34" s="1"/>
      <c r="Y34" s="1"/>
      <c r="Z34" s="1"/>
      <c r="AA34" s="1"/>
      <c r="AB34" s="1"/>
      <c r="AC34" s="1"/>
      <c r="AD34" s="1"/>
      <c r="AE34" s="1"/>
      <c r="AF34" s="1"/>
      <c r="AG34" s="1"/>
      <c r="AH34" s="1"/>
    </row>
    <row r="35" spans="1:34" s="1" customFormat="1" ht="9.75" customHeight="1" outlineLevel="1" x14ac:dyDescent="0.25"/>
    <row r="36" spans="1:34" s="1" customFormat="1" outlineLevel="1" x14ac:dyDescent="0.25">
      <c r="B36" s="13" t="s">
        <v>896</v>
      </c>
      <c r="D36" s="43"/>
      <c r="E36" s="829" t="s">
        <v>897</v>
      </c>
      <c r="F36" s="511"/>
    </row>
    <row r="37" spans="1:34" s="1" customFormat="1" outlineLevel="1" x14ac:dyDescent="0.25">
      <c r="B37" s="660" t="s">
        <v>898</v>
      </c>
      <c r="C37" s="665" t="s">
        <v>899</v>
      </c>
      <c r="D37" s="43"/>
      <c r="E37" s="661"/>
      <c r="F37" s="662" t="s">
        <v>900</v>
      </c>
    </row>
    <row r="38" spans="1:34" s="1" customFormat="1" outlineLevel="1" x14ac:dyDescent="0.25">
      <c r="B38" s="663" t="s">
        <v>398</v>
      </c>
      <c r="C38" s="666">
        <f>SUM(D60:AB60)/25/1000</f>
        <v>3.22</v>
      </c>
      <c r="E38" s="663">
        <v>2030</v>
      </c>
      <c r="F38" s="670">
        <f>H71</f>
        <v>4382.845544454527</v>
      </c>
    </row>
    <row r="39" spans="1:34" s="1" customFormat="1" outlineLevel="1" x14ac:dyDescent="0.25">
      <c r="B39" s="155" t="s">
        <v>399</v>
      </c>
      <c r="C39" s="667">
        <f>C38-SUM(D61:AB61)/25/1000</f>
        <v>1.61</v>
      </c>
      <c r="E39" s="155">
        <v>2035</v>
      </c>
      <c r="F39" s="428">
        <f>M71</f>
        <v>17891.985002569174</v>
      </c>
    </row>
    <row r="40" spans="1:34" s="1" customFormat="1" outlineLevel="1" x14ac:dyDescent="0.25">
      <c r="B40" s="663" t="s">
        <v>400</v>
      </c>
      <c r="C40" s="666">
        <f>SUM(D66:AB66)/25/1000</f>
        <v>-0.56304034606676978</v>
      </c>
      <c r="E40" s="663">
        <v>2040</v>
      </c>
      <c r="F40" s="670">
        <f>R71</f>
        <v>35819.117970405852</v>
      </c>
    </row>
    <row r="41" spans="1:34" s="1" customFormat="1" ht="15" customHeight="1" outlineLevel="1" x14ac:dyDescent="0.25">
      <c r="B41" s="155" t="s">
        <v>401</v>
      </c>
      <c r="C41" s="667">
        <f>C40-SUM(D61:AB61)/25/1000</f>
        <v>-2.1730403460667698</v>
      </c>
      <c r="E41" s="155">
        <v>2045</v>
      </c>
      <c r="F41" s="428">
        <f>W71</f>
        <v>37216.003309395972</v>
      </c>
    </row>
    <row r="42" spans="1:34" s="1" customFormat="1" outlineLevel="1" x14ac:dyDescent="0.25">
      <c r="B42" s="663" t="s">
        <v>901</v>
      </c>
      <c r="C42" s="670">
        <f>MAX(D71:AR71)</f>
        <v>38588.588921227863</v>
      </c>
      <c r="E42" s="663">
        <v>2050</v>
      </c>
      <c r="F42" s="670">
        <f>AB71</f>
        <v>35035.994912355243</v>
      </c>
    </row>
    <row r="43" spans="1:34" s="1" customFormat="1" outlineLevel="1" x14ac:dyDescent="0.25">
      <c r="B43" s="155" t="s">
        <v>1386</v>
      </c>
      <c r="C43" s="428">
        <f>SUM(D69:AB69)*SISENDID!E418/1000</f>
        <v>2540.1068957352445</v>
      </c>
      <c r="E43" s="235"/>
    </row>
    <row r="44" spans="1:34" s="1" customFormat="1" outlineLevel="1" x14ac:dyDescent="0.25">
      <c r="B44" s="663" t="s">
        <v>1565</v>
      </c>
      <c r="C44" s="670">
        <f>SUM(D70:AB70)/1000</f>
        <v>941.66613483307572</v>
      </c>
      <c r="D44" s="235"/>
      <c r="E44" s="7"/>
    </row>
    <row r="45" spans="1:34" s="1" customFormat="1" outlineLevel="1" x14ac:dyDescent="0.25">
      <c r="B45" s="155" t="s">
        <v>403</v>
      </c>
      <c r="C45" s="428">
        <f>SUM(D66:AV66)*1000/SUM(D71:AV71)</f>
        <v>-119.32204173454753</v>
      </c>
      <c r="E45" s="7"/>
    </row>
    <row r="46" spans="1:34" s="1" customFormat="1" outlineLevel="1" x14ac:dyDescent="0.25"/>
    <row r="47" spans="1:34" s="1" customFormat="1" outlineLevel="1" x14ac:dyDescent="0.25">
      <c r="A47" s="2"/>
      <c r="B47" s="284" t="s">
        <v>903</v>
      </c>
      <c r="D47" s="43"/>
      <c r="E47" s="7"/>
      <c r="I47" s="277" t="s">
        <v>876</v>
      </c>
      <c r="J47" s="273"/>
    </row>
    <row r="48" spans="1:34" s="1" customFormat="1" ht="16.5" customHeight="1" outlineLevel="1" x14ac:dyDescent="0.25">
      <c r="A48" s="2"/>
      <c r="B48" s="155" t="s">
        <v>904</v>
      </c>
      <c r="C48" s="307" t="s">
        <v>474</v>
      </c>
      <c r="D48" s="12"/>
      <c r="E48" s="12"/>
      <c r="F48" s="12"/>
      <c r="G48" s="12"/>
      <c r="H48" s="12"/>
      <c r="I48" s="311" t="s">
        <v>474</v>
      </c>
      <c r="J48" s="295" t="s">
        <v>906</v>
      </c>
    </row>
    <row r="49" spans="1:48" s="1" customFormat="1" outlineLevel="1" x14ac:dyDescent="0.25">
      <c r="A49" s="2"/>
      <c r="B49" s="155" t="s">
        <v>907</v>
      </c>
      <c r="C49" s="307" t="s">
        <v>905</v>
      </c>
      <c r="D49" s="397">
        <f>IF(C49="Kõrge",3,IF(C49="Mõõdukas",2,1))</f>
        <v>2</v>
      </c>
      <c r="E49" s="12"/>
      <c r="F49" s="12"/>
      <c r="G49" s="12"/>
      <c r="H49" s="12"/>
      <c r="I49" s="312" t="s">
        <v>905</v>
      </c>
      <c r="J49" s="295" t="s">
        <v>908</v>
      </c>
    </row>
    <row r="50" spans="1:48" s="1" customFormat="1" outlineLevel="1" x14ac:dyDescent="0.25">
      <c r="A50" s="2"/>
      <c r="B50" s="155" t="s">
        <v>909</v>
      </c>
      <c r="C50" s="307" t="s">
        <v>905</v>
      </c>
      <c r="D50" s="397">
        <f>IF(C50="Kõrge",3,IF(C50="Mõõdukas",2,1))</f>
        <v>2</v>
      </c>
      <c r="E50" s="12"/>
      <c r="F50" s="12"/>
      <c r="I50" s="313" t="s">
        <v>910</v>
      </c>
      <c r="J50" s="295" t="s">
        <v>911</v>
      </c>
    </row>
    <row r="51" spans="1:48" s="1" customFormat="1" x14ac:dyDescent="0.25">
      <c r="B51" s="4"/>
      <c r="C51" s="399" t="s">
        <v>912</v>
      </c>
      <c r="D51" s="398">
        <f>D50+D49</f>
        <v>4</v>
      </c>
      <c r="E51" s="12"/>
      <c r="F51" s="12"/>
      <c r="G51" s="12"/>
      <c r="H51" s="12"/>
    </row>
    <row r="52" spans="1:48" x14ac:dyDescent="0.25">
      <c r="A52" s="1"/>
      <c r="B52" s="659" t="s">
        <v>913</v>
      </c>
      <c r="C52" s="658"/>
      <c r="D52" s="658"/>
      <c r="E52" s="658"/>
      <c r="F52" s="658"/>
      <c r="G52" s="658"/>
      <c r="H52" s="658"/>
      <c r="I52" s="658"/>
      <c r="J52" s="658"/>
      <c r="K52" s="658"/>
      <c r="L52" s="658"/>
      <c r="M52" s="658"/>
      <c r="N52" s="658"/>
      <c r="O52" s="658"/>
      <c r="P52" s="658"/>
      <c r="Q52" s="658"/>
      <c r="R52" s="658"/>
      <c r="S52" s="658"/>
      <c r="T52" s="658"/>
      <c r="U52" s="658"/>
      <c r="V52" s="658"/>
      <c r="W52" s="658"/>
      <c r="X52" s="658"/>
      <c r="Y52" s="658"/>
      <c r="Z52" s="658"/>
      <c r="AA52" s="658"/>
      <c r="AB52" s="658"/>
      <c r="AC52" s="658"/>
      <c r="AD52" s="658"/>
      <c r="AE52" s="658"/>
      <c r="AF52" s="658"/>
      <c r="AG52" s="658"/>
      <c r="AH52" s="658"/>
      <c r="AI52" s="658"/>
      <c r="AJ52" s="658"/>
      <c r="AK52" s="658"/>
      <c r="AL52" s="658"/>
      <c r="AM52" s="658"/>
      <c r="AN52" s="658"/>
      <c r="AO52" s="658"/>
      <c r="AP52" s="658"/>
      <c r="AQ52" s="658"/>
      <c r="AR52" s="658"/>
      <c r="AS52" s="658"/>
      <c r="AT52" s="658"/>
      <c r="AU52" s="658"/>
      <c r="AV52" s="658"/>
    </row>
    <row r="53" spans="1:48" s="15" customFormat="1" ht="7.5" customHeight="1" outlineLevel="1" x14ac:dyDescent="0.25"/>
    <row r="54" spans="1:48" s="15" customFormat="1" ht="13.5" outlineLevel="1" x14ac:dyDescent="0.25">
      <c r="B54" s="715" t="s">
        <v>914</v>
      </c>
      <c r="C54" s="719"/>
      <c r="D54" s="432">
        <v>2026</v>
      </c>
      <c r="E54" s="432">
        <f>D54+1</f>
        <v>2027</v>
      </c>
      <c r="F54" s="432">
        <f t="shared" ref="F54:AR54" si="0">E54+1</f>
        <v>2028</v>
      </c>
      <c r="G54" s="432">
        <f t="shared" si="0"/>
        <v>2029</v>
      </c>
      <c r="H54" s="432">
        <f t="shared" si="0"/>
        <v>2030</v>
      </c>
      <c r="I54" s="432">
        <f t="shared" si="0"/>
        <v>2031</v>
      </c>
      <c r="J54" s="432">
        <f t="shared" si="0"/>
        <v>2032</v>
      </c>
      <c r="K54" s="432">
        <f t="shared" si="0"/>
        <v>2033</v>
      </c>
      <c r="L54" s="432">
        <f t="shared" si="0"/>
        <v>2034</v>
      </c>
      <c r="M54" s="432">
        <f t="shared" si="0"/>
        <v>2035</v>
      </c>
      <c r="N54" s="432">
        <f t="shared" si="0"/>
        <v>2036</v>
      </c>
      <c r="O54" s="432">
        <f t="shared" si="0"/>
        <v>2037</v>
      </c>
      <c r="P54" s="432">
        <f t="shared" si="0"/>
        <v>2038</v>
      </c>
      <c r="Q54" s="432">
        <f t="shared" si="0"/>
        <v>2039</v>
      </c>
      <c r="R54" s="432">
        <f t="shared" si="0"/>
        <v>2040</v>
      </c>
      <c r="S54" s="432">
        <f t="shared" si="0"/>
        <v>2041</v>
      </c>
      <c r="T54" s="432">
        <f t="shared" si="0"/>
        <v>2042</v>
      </c>
      <c r="U54" s="432">
        <f t="shared" si="0"/>
        <v>2043</v>
      </c>
      <c r="V54" s="432">
        <f t="shared" si="0"/>
        <v>2044</v>
      </c>
      <c r="W54" s="432">
        <f t="shared" si="0"/>
        <v>2045</v>
      </c>
      <c r="X54" s="432">
        <f t="shared" si="0"/>
        <v>2046</v>
      </c>
      <c r="Y54" s="432">
        <f t="shared" si="0"/>
        <v>2047</v>
      </c>
      <c r="Z54" s="432">
        <f t="shared" si="0"/>
        <v>2048</v>
      </c>
      <c r="AA54" s="432">
        <f t="shared" si="0"/>
        <v>2049</v>
      </c>
      <c r="AB54" s="432">
        <f t="shared" si="0"/>
        <v>2050</v>
      </c>
      <c r="AC54" s="432">
        <f t="shared" si="0"/>
        <v>2051</v>
      </c>
      <c r="AD54" s="432">
        <f t="shared" si="0"/>
        <v>2052</v>
      </c>
      <c r="AE54" s="432">
        <f t="shared" si="0"/>
        <v>2053</v>
      </c>
      <c r="AF54" s="432">
        <f t="shared" si="0"/>
        <v>2054</v>
      </c>
      <c r="AG54" s="432">
        <f t="shared" si="0"/>
        <v>2055</v>
      </c>
      <c r="AH54" s="432">
        <f t="shared" si="0"/>
        <v>2056</v>
      </c>
      <c r="AI54" s="432">
        <f t="shared" si="0"/>
        <v>2057</v>
      </c>
      <c r="AJ54" s="432">
        <f t="shared" si="0"/>
        <v>2058</v>
      </c>
      <c r="AK54" s="432">
        <f t="shared" si="0"/>
        <v>2059</v>
      </c>
      <c r="AL54" s="432">
        <f t="shared" si="0"/>
        <v>2060</v>
      </c>
      <c r="AM54" s="432">
        <f t="shared" si="0"/>
        <v>2061</v>
      </c>
      <c r="AN54" s="432">
        <f t="shared" si="0"/>
        <v>2062</v>
      </c>
      <c r="AO54" s="432">
        <f t="shared" si="0"/>
        <v>2063</v>
      </c>
      <c r="AP54" s="432">
        <f t="shared" si="0"/>
        <v>2064</v>
      </c>
      <c r="AQ54" s="432">
        <f t="shared" si="0"/>
        <v>2065</v>
      </c>
      <c r="AR54" s="432">
        <f t="shared" si="0"/>
        <v>2066</v>
      </c>
      <c r="AS54" s="432">
        <f t="shared" ref="AS54" si="1">AR54+1</f>
        <v>2067</v>
      </c>
      <c r="AT54" s="432">
        <f t="shared" ref="AT54:AV54" si="2">AS54+1</f>
        <v>2068</v>
      </c>
      <c r="AU54" s="432">
        <f t="shared" ref="AU54" si="3">AT54+1</f>
        <v>2069</v>
      </c>
      <c r="AV54" s="716">
        <f t="shared" si="2"/>
        <v>2070</v>
      </c>
    </row>
    <row r="55" spans="1:48" s="15" customFormat="1" ht="13.5" outlineLevel="1" x14ac:dyDescent="0.25">
      <c r="B55" s="817" t="s">
        <v>1566</v>
      </c>
      <c r="C55" s="674" t="s">
        <v>1567</v>
      </c>
      <c r="D55" s="675">
        <f>IF(AND(D54&gt;$C$7,D54&lt;$C$8),1,0)</f>
        <v>0</v>
      </c>
      <c r="E55" s="675">
        <f t="shared" ref="E55:AV55" si="4">IF(AND(E54&gt;$C$7,E54&lt;$C$8),1,0)</f>
        <v>1</v>
      </c>
      <c r="F55" s="675">
        <f t="shared" si="4"/>
        <v>1</v>
      </c>
      <c r="G55" s="675">
        <f t="shared" si="4"/>
        <v>1</v>
      </c>
      <c r="H55" s="675">
        <f t="shared" si="4"/>
        <v>1</v>
      </c>
      <c r="I55" s="675">
        <f t="shared" si="4"/>
        <v>1</v>
      </c>
      <c r="J55" s="675">
        <f t="shared" si="4"/>
        <v>1</v>
      </c>
      <c r="K55" s="675">
        <f t="shared" si="4"/>
        <v>1</v>
      </c>
      <c r="L55" s="675">
        <f t="shared" si="4"/>
        <v>1</v>
      </c>
      <c r="M55" s="675">
        <f t="shared" si="4"/>
        <v>1</v>
      </c>
      <c r="N55" s="675">
        <f t="shared" si="4"/>
        <v>1</v>
      </c>
      <c r="O55" s="675">
        <f t="shared" si="4"/>
        <v>1</v>
      </c>
      <c r="P55" s="675">
        <f t="shared" si="4"/>
        <v>1</v>
      </c>
      <c r="Q55" s="675">
        <f t="shared" si="4"/>
        <v>1</v>
      </c>
      <c r="R55" s="675">
        <f t="shared" si="4"/>
        <v>0</v>
      </c>
      <c r="S55" s="675">
        <f t="shared" si="4"/>
        <v>0</v>
      </c>
      <c r="T55" s="675">
        <f t="shared" si="4"/>
        <v>0</v>
      </c>
      <c r="U55" s="675">
        <f t="shared" si="4"/>
        <v>0</v>
      </c>
      <c r="V55" s="675">
        <f t="shared" si="4"/>
        <v>0</v>
      </c>
      <c r="W55" s="675">
        <f t="shared" si="4"/>
        <v>0</v>
      </c>
      <c r="X55" s="675">
        <f t="shared" si="4"/>
        <v>0</v>
      </c>
      <c r="Y55" s="675">
        <f t="shared" si="4"/>
        <v>0</v>
      </c>
      <c r="Z55" s="675">
        <f t="shared" si="4"/>
        <v>0</v>
      </c>
      <c r="AA55" s="675">
        <f t="shared" si="4"/>
        <v>0</v>
      </c>
      <c r="AB55" s="675">
        <f t="shared" si="4"/>
        <v>0</v>
      </c>
      <c r="AC55" s="675">
        <f t="shared" si="4"/>
        <v>0</v>
      </c>
      <c r="AD55" s="675">
        <f t="shared" si="4"/>
        <v>0</v>
      </c>
      <c r="AE55" s="675">
        <f t="shared" si="4"/>
        <v>0</v>
      </c>
      <c r="AF55" s="675">
        <f t="shared" si="4"/>
        <v>0</v>
      </c>
      <c r="AG55" s="675">
        <f t="shared" si="4"/>
        <v>0</v>
      </c>
      <c r="AH55" s="675">
        <f t="shared" si="4"/>
        <v>0</v>
      </c>
      <c r="AI55" s="675">
        <f t="shared" si="4"/>
        <v>0</v>
      </c>
      <c r="AJ55" s="675">
        <f t="shared" si="4"/>
        <v>0</v>
      </c>
      <c r="AK55" s="675">
        <f t="shared" si="4"/>
        <v>0</v>
      </c>
      <c r="AL55" s="675">
        <f t="shared" si="4"/>
        <v>0</v>
      </c>
      <c r="AM55" s="675">
        <f t="shared" si="4"/>
        <v>0</v>
      </c>
      <c r="AN55" s="675">
        <f t="shared" si="4"/>
        <v>0</v>
      </c>
      <c r="AO55" s="675">
        <f t="shared" si="4"/>
        <v>0</v>
      </c>
      <c r="AP55" s="675">
        <f t="shared" si="4"/>
        <v>0</v>
      </c>
      <c r="AQ55" s="675">
        <f t="shared" si="4"/>
        <v>0</v>
      </c>
      <c r="AR55" s="675">
        <f t="shared" si="4"/>
        <v>0</v>
      </c>
      <c r="AS55" s="675">
        <f t="shared" si="4"/>
        <v>0</v>
      </c>
      <c r="AT55" s="675">
        <f t="shared" si="4"/>
        <v>0</v>
      </c>
      <c r="AU55" s="675">
        <f t="shared" si="4"/>
        <v>0</v>
      </c>
      <c r="AV55" s="676">
        <f t="shared" si="4"/>
        <v>0</v>
      </c>
    </row>
    <row r="56" spans="1:48" s="15" customFormat="1" ht="13.5" outlineLevel="1" x14ac:dyDescent="0.25">
      <c r="B56" s="817" t="s">
        <v>1568</v>
      </c>
      <c r="C56" s="818" t="s">
        <v>1238</v>
      </c>
      <c r="D56" s="675">
        <f>IF(AND(D54&gt;$B$24-1,D54&lt;$B$25),$C$24,IF(AND(D54&gt;$B$25-1,D54&lt;$B$26),$C$25,$C$26))*D55</f>
        <v>0</v>
      </c>
      <c r="E56" s="675">
        <f t="shared" ref="E56:T56" si="5">IF(AND(E54&gt;$B$24-1,E54&lt;$B$25),$C$24,IF(AND(E54&gt;$B$25-1,E54&lt;$B$26),$C$25,$C$26))*E55</f>
        <v>25</v>
      </c>
      <c r="F56" s="675">
        <f t="shared" si="5"/>
        <v>25</v>
      </c>
      <c r="G56" s="675">
        <f t="shared" si="5"/>
        <v>25</v>
      </c>
      <c r="H56" s="675">
        <f t="shared" si="5"/>
        <v>40</v>
      </c>
      <c r="I56" s="675">
        <f t="shared" si="5"/>
        <v>40</v>
      </c>
      <c r="J56" s="675">
        <f t="shared" si="5"/>
        <v>40</v>
      </c>
      <c r="K56" s="675">
        <f t="shared" si="5"/>
        <v>40</v>
      </c>
      <c r="L56" s="675">
        <f t="shared" si="5"/>
        <v>40</v>
      </c>
      <c r="M56" s="675">
        <f t="shared" si="5"/>
        <v>60</v>
      </c>
      <c r="N56" s="675">
        <f t="shared" si="5"/>
        <v>60</v>
      </c>
      <c r="O56" s="675">
        <f t="shared" si="5"/>
        <v>60</v>
      </c>
      <c r="P56" s="675">
        <f t="shared" si="5"/>
        <v>60</v>
      </c>
      <c r="Q56" s="675">
        <f t="shared" si="5"/>
        <v>60</v>
      </c>
      <c r="R56" s="675">
        <f t="shared" si="5"/>
        <v>0</v>
      </c>
      <c r="S56" s="675">
        <f t="shared" si="5"/>
        <v>0</v>
      </c>
      <c r="T56" s="675">
        <f t="shared" si="5"/>
        <v>0</v>
      </c>
      <c r="U56" s="675">
        <f t="shared" ref="U56" si="6">IF(AND(U54&gt;$B$24-1,U54&lt;$B$25),$C$24,IF(AND(U54&gt;$B$25-1,U54&lt;$B$26),$C$25,$C$26))*U55</f>
        <v>0</v>
      </c>
      <c r="V56" s="675">
        <f t="shared" ref="V56" si="7">IF(AND(V54&gt;$B$24-1,V54&lt;$B$25),$C$24,IF(AND(V54&gt;$B$25-1,V54&lt;$B$26),$C$25,$C$26))*V55</f>
        <v>0</v>
      </c>
      <c r="W56" s="675">
        <f t="shared" ref="W56" si="8">IF(AND(W54&gt;$B$24-1,W54&lt;$B$25),$C$24,IF(AND(W54&gt;$B$25-1,W54&lt;$B$26),$C$25,$C$26))*W55</f>
        <v>0</v>
      </c>
      <c r="X56" s="675">
        <f t="shared" ref="X56" si="9">IF(AND(X54&gt;$B$24-1,X54&lt;$B$25),$C$24,IF(AND(X54&gt;$B$25-1,X54&lt;$B$26),$C$25,$C$26))*X55</f>
        <v>0</v>
      </c>
      <c r="Y56" s="675">
        <f t="shared" ref="Y56" si="10">IF(AND(Y54&gt;$B$24-1,Y54&lt;$B$25),$C$24,IF(AND(Y54&gt;$B$25-1,Y54&lt;$B$26),$C$25,$C$26))*Y55</f>
        <v>0</v>
      </c>
      <c r="Z56" s="675">
        <f t="shared" ref="Z56" si="11">IF(AND(Z54&gt;$B$24-1,Z54&lt;$B$25),$C$24,IF(AND(Z54&gt;$B$25-1,Z54&lt;$B$26),$C$25,$C$26))*Z55</f>
        <v>0</v>
      </c>
      <c r="AA56" s="675">
        <f t="shared" ref="AA56" si="12">IF(AND(AA54&gt;$B$24-1,AA54&lt;$B$25),$C$24,IF(AND(AA54&gt;$B$25-1,AA54&lt;$B$26),$C$25,$C$26))*AA55</f>
        <v>0</v>
      </c>
      <c r="AB56" s="675">
        <f t="shared" ref="AB56" si="13">IF(AND(AB54&gt;$B$24-1,AB54&lt;$B$25),$C$24,IF(AND(AB54&gt;$B$25-1,AB54&lt;$B$26),$C$25,$C$26))*AB55</f>
        <v>0</v>
      </c>
      <c r="AC56" s="675">
        <f t="shared" ref="AC56" si="14">IF(AND(AC54&gt;$B$24-1,AC54&lt;$B$25),$C$24,IF(AND(AC54&gt;$B$25-1,AC54&lt;$B$26),$C$25,$C$26))*AC55</f>
        <v>0</v>
      </c>
      <c r="AD56" s="675">
        <f t="shared" ref="AD56" si="15">IF(AND(AD54&gt;$B$24-1,AD54&lt;$B$25),$C$24,IF(AND(AD54&gt;$B$25-1,AD54&lt;$B$26),$C$25,$C$26))*AD55</f>
        <v>0</v>
      </c>
      <c r="AE56" s="675">
        <f t="shared" ref="AE56" si="16">IF(AND(AE54&gt;$B$24-1,AE54&lt;$B$25),$C$24,IF(AND(AE54&gt;$B$25-1,AE54&lt;$B$26),$C$25,$C$26))*AE55</f>
        <v>0</v>
      </c>
      <c r="AF56" s="675">
        <f t="shared" ref="AF56" si="17">IF(AND(AF54&gt;$B$24-1,AF54&lt;$B$25),$C$24,IF(AND(AF54&gt;$B$25-1,AF54&lt;$B$26),$C$25,$C$26))*AF55</f>
        <v>0</v>
      </c>
      <c r="AG56" s="675">
        <f t="shared" ref="AG56" si="18">IF(AND(AG54&gt;$B$24-1,AG54&lt;$B$25),$C$24,IF(AND(AG54&gt;$B$25-1,AG54&lt;$B$26),$C$25,$C$26))*AG55</f>
        <v>0</v>
      </c>
      <c r="AH56" s="675">
        <f t="shared" ref="AH56" si="19">IF(AND(AH54&gt;$B$24-1,AH54&lt;$B$25),$C$24,IF(AND(AH54&gt;$B$25-1,AH54&lt;$B$26),$C$25,$C$26))*AH55</f>
        <v>0</v>
      </c>
      <c r="AI56" s="675">
        <f t="shared" ref="AI56:AJ56" si="20">IF(AND(AI54&gt;$B$24-1,AI54&lt;$B$25),$C$24,IF(AND(AI54&gt;$B$25-1,AI54&lt;$B$26),$C$25,$C$26))*AI55</f>
        <v>0</v>
      </c>
      <c r="AJ56" s="675">
        <f t="shared" si="20"/>
        <v>0</v>
      </c>
      <c r="AK56" s="675">
        <f t="shared" ref="AK56" si="21">IF(AND(AK54&gt;$B$24-1,AK54&lt;$B$25),$C$24,IF(AND(AK54&gt;$B$25-1,AK54&lt;$B$26),$C$25,$C$26))*AK55</f>
        <v>0</v>
      </c>
      <c r="AL56" s="675">
        <f t="shared" ref="AL56" si="22">IF(AND(AL54&gt;$B$24-1,AL54&lt;$B$25),$C$24,IF(AND(AL54&gt;$B$25-1,AL54&lt;$B$26),$C$25,$C$26))*AL55</f>
        <v>0</v>
      </c>
      <c r="AM56" s="675">
        <f t="shared" ref="AM56" si="23">IF(AND(AM54&gt;$B$24-1,AM54&lt;$B$25),$C$24,IF(AND(AM54&gt;$B$25-1,AM54&lt;$B$26),$C$25,$C$26))*AM55</f>
        <v>0</v>
      </c>
      <c r="AN56" s="675">
        <f t="shared" ref="AN56" si="24">IF(AND(AN54&gt;$B$24-1,AN54&lt;$B$25),$C$24,IF(AND(AN54&gt;$B$25-1,AN54&lt;$B$26),$C$25,$C$26))*AN55</f>
        <v>0</v>
      </c>
      <c r="AO56" s="675">
        <f t="shared" ref="AO56" si="25">IF(AND(AO54&gt;$B$24-1,AO54&lt;$B$25),$C$24,IF(AND(AO54&gt;$B$25-1,AO54&lt;$B$26),$C$25,$C$26))*AO55</f>
        <v>0</v>
      </c>
      <c r="AP56" s="675">
        <f t="shared" ref="AP56" si="26">IF(AND(AP54&gt;$B$24-1,AP54&lt;$B$25),$C$24,IF(AND(AP54&gt;$B$25-1,AP54&lt;$B$26),$C$25,$C$26))*AP55</f>
        <v>0</v>
      </c>
      <c r="AQ56" s="675">
        <f t="shared" ref="AQ56" si="27">IF(AND(AQ54&gt;$B$24-1,AQ54&lt;$B$25),$C$24,IF(AND(AQ54&gt;$B$25-1,AQ54&lt;$B$26),$C$25,$C$26))*AQ55</f>
        <v>0</v>
      </c>
      <c r="AR56" s="675">
        <f t="shared" ref="AR56" si="28">IF(AND(AR54&gt;$B$24-1,AR54&lt;$B$25),$C$24,IF(AND(AR54&gt;$B$25-1,AR54&lt;$B$26),$C$25,$C$26))*AR55</f>
        <v>0</v>
      </c>
      <c r="AS56" s="675">
        <f t="shared" ref="AS56" si="29">IF(AND(AS54&gt;$B$24-1,AS54&lt;$B$25),$C$24,IF(AND(AS54&gt;$B$25-1,AS54&lt;$B$26),$C$25,$C$26))*AS55</f>
        <v>0</v>
      </c>
      <c r="AT56" s="675">
        <f t="shared" ref="AT56" si="30">IF(AND(AT54&gt;$B$24-1,AT54&lt;$B$25),$C$24,IF(AND(AT54&gt;$B$25-1,AT54&lt;$B$26),$C$25,$C$26))*AT55</f>
        <v>0</v>
      </c>
      <c r="AU56" s="675">
        <f t="shared" ref="AU56" si="31">IF(AND(AU54&gt;$B$24-1,AU54&lt;$B$25),$C$24,IF(AND(AU54&gt;$B$25-1,AU54&lt;$B$26),$C$25,$C$26))*AU55</f>
        <v>0</v>
      </c>
      <c r="AV56" s="676">
        <f t="shared" ref="AV56" si="32">IF(AND(AV54&gt;$B$24-1,AV54&lt;$B$25),$C$24,IF(AND(AV54&gt;$B$25-1,AV54&lt;$B$26),$C$25,$C$26))*AV55</f>
        <v>0</v>
      </c>
    </row>
    <row r="57" spans="1:48" s="15" customFormat="1" ht="13.5" outlineLevel="1" x14ac:dyDescent="0.25">
      <c r="B57" s="817" t="s">
        <v>1569</v>
      </c>
      <c r="C57" s="818" t="s">
        <v>1238</v>
      </c>
      <c r="D57" s="675">
        <f>(D56*$C$29)*1000/$C$12</f>
        <v>0</v>
      </c>
      <c r="E57" s="675">
        <f>D57+(D56*$C$30+E56*$C$29)*1000/$C$12</f>
        <v>125</v>
      </c>
      <c r="F57" s="675">
        <f>E57+(D56*$C$31+E56*$C$30+F56*$C$29)*1000/$C$12</f>
        <v>562.5</v>
      </c>
      <c r="G57" s="675">
        <f t="shared" ref="G57:AV57" si="33">F57+(D56*$C$32+E56*$C$31+F56*$C$30+G56*$C$29)*1000/$C$12</f>
        <v>1500</v>
      </c>
      <c r="H57" s="675">
        <f t="shared" si="33"/>
        <v>2825</v>
      </c>
      <c r="I57" s="675">
        <f t="shared" si="33"/>
        <v>4337.5</v>
      </c>
      <c r="J57" s="675">
        <f t="shared" si="33"/>
        <v>6150</v>
      </c>
      <c r="K57" s="675">
        <f t="shared" si="33"/>
        <v>8150</v>
      </c>
      <c r="L57" s="675">
        <f t="shared" si="33"/>
        <v>10150</v>
      </c>
      <c r="M57" s="675">
        <f t="shared" si="33"/>
        <v>12250</v>
      </c>
      <c r="N57" s="675">
        <f t="shared" si="33"/>
        <v>14600</v>
      </c>
      <c r="O57" s="675">
        <f t="shared" si="33"/>
        <v>17350</v>
      </c>
      <c r="P57" s="675">
        <f t="shared" si="33"/>
        <v>20350</v>
      </c>
      <c r="Q57" s="675">
        <f t="shared" si="33"/>
        <v>23350</v>
      </c>
      <c r="R57" s="675">
        <f t="shared" si="33"/>
        <v>26050</v>
      </c>
      <c r="S57" s="675">
        <f t="shared" si="33"/>
        <v>28000</v>
      </c>
      <c r="T57" s="675">
        <f t="shared" si="33"/>
        <v>28750</v>
      </c>
      <c r="U57" s="675">
        <f t="shared" si="33"/>
        <v>28750</v>
      </c>
      <c r="V57" s="675">
        <f t="shared" si="33"/>
        <v>28750</v>
      </c>
      <c r="W57" s="675">
        <f t="shared" si="33"/>
        <v>28750</v>
      </c>
      <c r="X57" s="675">
        <f t="shared" si="33"/>
        <v>28750</v>
      </c>
      <c r="Y57" s="675">
        <f t="shared" si="33"/>
        <v>28750</v>
      </c>
      <c r="Z57" s="675">
        <f t="shared" si="33"/>
        <v>28750</v>
      </c>
      <c r="AA57" s="675">
        <f t="shared" si="33"/>
        <v>28750</v>
      </c>
      <c r="AB57" s="675">
        <f t="shared" si="33"/>
        <v>28750</v>
      </c>
      <c r="AC57" s="675">
        <f t="shared" si="33"/>
        <v>28750</v>
      </c>
      <c r="AD57" s="675">
        <f t="shared" si="33"/>
        <v>28750</v>
      </c>
      <c r="AE57" s="675">
        <f t="shared" si="33"/>
        <v>28750</v>
      </c>
      <c r="AF57" s="675">
        <f t="shared" si="33"/>
        <v>28750</v>
      </c>
      <c r="AG57" s="675">
        <f t="shared" si="33"/>
        <v>28750</v>
      </c>
      <c r="AH57" s="675">
        <f t="shared" si="33"/>
        <v>28750</v>
      </c>
      <c r="AI57" s="675">
        <f t="shared" si="33"/>
        <v>28750</v>
      </c>
      <c r="AJ57" s="675">
        <f t="shared" si="33"/>
        <v>28750</v>
      </c>
      <c r="AK57" s="675">
        <f t="shared" si="33"/>
        <v>28750</v>
      </c>
      <c r="AL57" s="675">
        <f t="shared" si="33"/>
        <v>28750</v>
      </c>
      <c r="AM57" s="675">
        <f t="shared" si="33"/>
        <v>28750</v>
      </c>
      <c r="AN57" s="675">
        <f t="shared" si="33"/>
        <v>28750</v>
      </c>
      <c r="AO57" s="675">
        <f t="shared" si="33"/>
        <v>28750</v>
      </c>
      <c r="AP57" s="675">
        <f t="shared" si="33"/>
        <v>28750</v>
      </c>
      <c r="AQ57" s="675">
        <f t="shared" si="33"/>
        <v>28750</v>
      </c>
      <c r="AR57" s="675">
        <f t="shared" si="33"/>
        <v>28750</v>
      </c>
      <c r="AS57" s="675">
        <f t="shared" si="33"/>
        <v>28750</v>
      </c>
      <c r="AT57" s="675">
        <f t="shared" si="33"/>
        <v>28750</v>
      </c>
      <c r="AU57" s="675">
        <f t="shared" si="33"/>
        <v>28750</v>
      </c>
      <c r="AV57" s="676">
        <f t="shared" si="33"/>
        <v>28750</v>
      </c>
    </row>
    <row r="58" spans="1:48" s="15" customFormat="1" ht="13.5" outlineLevel="1" x14ac:dyDescent="0.25">
      <c r="B58" s="817" t="s">
        <v>1570</v>
      </c>
      <c r="C58" s="818" t="s">
        <v>1571</v>
      </c>
      <c r="D58" s="675">
        <f>(D56*$C$29)*365*$C$15/1000</f>
        <v>0</v>
      </c>
      <c r="E58" s="675">
        <f>D58+(D56*$C$30+E56*$C$29)*365*$C$15/1000</f>
        <v>2.7374999999999998</v>
      </c>
      <c r="F58" s="675">
        <f>E58+(D56*$C$31+E56*$C$30+F56*$C$29)*365*$C$15/1000</f>
        <v>12.318750000000001</v>
      </c>
      <c r="G58" s="675">
        <f t="shared" ref="G58:AV58" si="34">F58+(D56*$C$32+E56*$C$31+F56*$C$30+G56*$C$29)*365*$C$15/1000</f>
        <v>32.85</v>
      </c>
      <c r="H58" s="675">
        <f t="shared" si="34"/>
        <v>61.8675</v>
      </c>
      <c r="I58" s="675">
        <f t="shared" si="34"/>
        <v>94.991250000000008</v>
      </c>
      <c r="J58" s="675">
        <f t="shared" si="34"/>
        <v>134.685</v>
      </c>
      <c r="K58" s="675">
        <f t="shared" si="34"/>
        <v>178.48500000000001</v>
      </c>
      <c r="L58" s="675">
        <f t="shared" si="34"/>
        <v>222.28500000000003</v>
      </c>
      <c r="M58" s="675">
        <f t="shared" si="34"/>
        <v>268.27500000000003</v>
      </c>
      <c r="N58" s="675">
        <f t="shared" si="34"/>
        <v>319.74</v>
      </c>
      <c r="O58" s="675">
        <f t="shared" si="34"/>
        <v>379.96500000000003</v>
      </c>
      <c r="P58" s="675">
        <f t="shared" si="34"/>
        <v>445.66500000000002</v>
      </c>
      <c r="Q58" s="675">
        <f t="shared" si="34"/>
        <v>511.36500000000001</v>
      </c>
      <c r="R58" s="675">
        <f t="shared" si="34"/>
        <v>570.495</v>
      </c>
      <c r="S58" s="675">
        <f t="shared" si="34"/>
        <v>613.20000000000005</v>
      </c>
      <c r="T58" s="675">
        <f t="shared" si="34"/>
        <v>629.625</v>
      </c>
      <c r="U58" s="675">
        <f t="shared" si="34"/>
        <v>629.625</v>
      </c>
      <c r="V58" s="675">
        <f t="shared" si="34"/>
        <v>629.625</v>
      </c>
      <c r="W58" s="675">
        <f t="shared" si="34"/>
        <v>629.625</v>
      </c>
      <c r="X58" s="675">
        <f t="shared" si="34"/>
        <v>629.625</v>
      </c>
      <c r="Y58" s="675">
        <f t="shared" si="34"/>
        <v>629.625</v>
      </c>
      <c r="Z58" s="675">
        <f t="shared" si="34"/>
        <v>629.625</v>
      </c>
      <c r="AA58" s="675">
        <f t="shared" si="34"/>
        <v>629.625</v>
      </c>
      <c r="AB58" s="675">
        <f t="shared" si="34"/>
        <v>629.625</v>
      </c>
      <c r="AC58" s="675">
        <f t="shared" si="34"/>
        <v>629.625</v>
      </c>
      <c r="AD58" s="675">
        <f t="shared" si="34"/>
        <v>629.625</v>
      </c>
      <c r="AE58" s="675">
        <f t="shared" si="34"/>
        <v>629.625</v>
      </c>
      <c r="AF58" s="675">
        <f t="shared" si="34"/>
        <v>629.625</v>
      </c>
      <c r="AG58" s="675">
        <f t="shared" si="34"/>
        <v>629.625</v>
      </c>
      <c r="AH58" s="675">
        <f t="shared" si="34"/>
        <v>629.625</v>
      </c>
      <c r="AI58" s="675">
        <f t="shared" si="34"/>
        <v>629.625</v>
      </c>
      <c r="AJ58" s="675">
        <f t="shared" si="34"/>
        <v>629.625</v>
      </c>
      <c r="AK58" s="675">
        <f t="shared" si="34"/>
        <v>629.625</v>
      </c>
      <c r="AL58" s="675">
        <f t="shared" si="34"/>
        <v>629.625</v>
      </c>
      <c r="AM58" s="675">
        <f t="shared" si="34"/>
        <v>629.625</v>
      </c>
      <c r="AN58" s="675">
        <f t="shared" si="34"/>
        <v>629.625</v>
      </c>
      <c r="AO58" s="675">
        <f t="shared" si="34"/>
        <v>629.625</v>
      </c>
      <c r="AP58" s="675">
        <f t="shared" si="34"/>
        <v>629.625</v>
      </c>
      <c r="AQ58" s="675">
        <f t="shared" si="34"/>
        <v>629.625</v>
      </c>
      <c r="AR58" s="675">
        <f t="shared" si="34"/>
        <v>629.625</v>
      </c>
      <c r="AS58" s="675">
        <f t="shared" si="34"/>
        <v>629.625</v>
      </c>
      <c r="AT58" s="675">
        <f t="shared" si="34"/>
        <v>629.625</v>
      </c>
      <c r="AU58" s="675">
        <f t="shared" si="34"/>
        <v>629.625</v>
      </c>
      <c r="AV58" s="676">
        <f t="shared" si="34"/>
        <v>629.625</v>
      </c>
    </row>
    <row r="59" spans="1:48" s="15" customFormat="1" ht="13.5" outlineLevel="1" x14ac:dyDescent="0.25">
      <c r="B59" s="817"/>
      <c r="C59" s="818"/>
      <c r="D59" s="675"/>
      <c r="E59" s="675"/>
      <c r="F59" s="675"/>
      <c r="G59" s="675"/>
      <c r="H59" s="675"/>
      <c r="I59" s="675"/>
      <c r="J59" s="675"/>
      <c r="K59" s="675"/>
      <c r="L59" s="675"/>
      <c r="M59" s="675"/>
      <c r="N59" s="675"/>
      <c r="O59" s="675"/>
      <c r="P59" s="675"/>
      <c r="Q59" s="675"/>
      <c r="R59" s="675"/>
      <c r="S59" s="675"/>
      <c r="T59" s="675"/>
      <c r="U59" s="675"/>
      <c r="V59" s="675"/>
      <c r="W59" s="675"/>
      <c r="X59" s="675"/>
      <c r="Y59" s="675"/>
      <c r="Z59" s="675"/>
      <c r="AA59" s="675"/>
      <c r="AB59" s="675"/>
      <c r="AC59" s="675"/>
      <c r="AD59" s="675"/>
      <c r="AE59" s="675"/>
      <c r="AF59" s="675"/>
      <c r="AG59" s="675"/>
      <c r="AH59" s="675"/>
      <c r="AI59" s="675"/>
      <c r="AJ59" s="675"/>
      <c r="AK59" s="675"/>
      <c r="AL59" s="675"/>
      <c r="AM59" s="675"/>
      <c r="AN59" s="675"/>
      <c r="AO59" s="675"/>
      <c r="AP59" s="675"/>
      <c r="AQ59" s="675"/>
      <c r="AR59" s="675"/>
      <c r="AS59" s="675"/>
      <c r="AT59" s="675"/>
      <c r="AU59" s="675"/>
      <c r="AV59" s="676"/>
    </row>
    <row r="60" spans="1:48" s="15" customFormat="1" ht="13.5" outlineLevel="1" x14ac:dyDescent="0.25">
      <c r="B60" s="817" t="s">
        <v>1572</v>
      </c>
      <c r="C60" s="818" t="s">
        <v>1573</v>
      </c>
      <c r="D60" s="675">
        <f>D56*$C$10</f>
        <v>0</v>
      </c>
      <c r="E60" s="675">
        <f t="shared" ref="E60:I60" si="35">E56*$C$10</f>
        <v>3500</v>
      </c>
      <c r="F60" s="675">
        <f t="shared" si="35"/>
        <v>3500</v>
      </c>
      <c r="G60" s="675">
        <f t="shared" si="35"/>
        <v>3500</v>
      </c>
      <c r="H60" s="675">
        <f t="shared" si="35"/>
        <v>5600</v>
      </c>
      <c r="I60" s="675">
        <f t="shared" si="35"/>
        <v>5600</v>
      </c>
      <c r="J60" s="675">
        <f t="shared" ref="J60" si="36">J56*$C$10</f>
        <v>5600</v>
      </c>
      <c r="K60" s="675">
        <f t="shared" ref="K60" si="37">K56*$C$10</f>
        <v>5600</v>
      </c>
      <c r="L60" s="675">
        <f t="shared" ref="L60" si="38">L56*$C$10</f>
        <v>5600</v>
      </c>
      <c r="M60" s="675">
        <f t="shared" ref="M60:N60" si="39">M56*$C$10</f>
        <v>8400</v>
      </c>
      <c r="N60" s="675">
        <f t="shared" si="39"/>
        <v>8400</v>
      </c>
      <c r="O60" s="675">
        <f t="shared" ref="O60" si="40">O56*$C$10</f>
        <v>8400</v>
      </c>
      <c r="P60" s="675">
        <f t="shared" ref="P60" si="41">P56*$C$10</f>
        <v>8400</v>
      </c>
      <c r="Q60" s="675">
        <f t="shared" ref="Q60" si="42">Q56*$C$10</f>
        <v>8400</v>
      </c>
      <c r="R60" s="675">
        <f t="shared" ref="R60:S60" si="43">R56*$C$10</f>
        <v>0</v>
      </c>
      <c r="S60" s="675">
        <f t="shared" si="43"/>
        <v>0</v>
      </c>
      <c r="T60" s="675">
        <f t="shared" ref="T60" si="44">T56*$C$10</f>
        <v>0</v>
      </c>
      <c r="U60" s="675">
        <f t="shared" ref="U60" si="45">U56*$C$10</f>
        <v>0</v>
      </c>
      <c r="V60" s="675">
        <f t="shared" ref="V60" si="46">V56*$C$10</f>
        <v>0</v>
      </c>
      <c r="W60" s="675">
        <f t="shared" ref="W60:X60" si="47">W56*$C$10</f>
        <v>0</v>
      </c>
      <c r="X60" s="675">
        <f t="shared" si="47"/>
        <v>0</v>
      </c>
      <c r="Y60" s="675">
        <f t="shared" ref="Y60" si="48">Y56*$C$10</f>
        <v>0</v>
      </c>
      <c r="Z60" s="675">
        <f t="shared" ref="Z60" si="49">Z56*$C$10</f>
        <v>0</v>
      </c>
      <c r="AA60" s="675">
        <f t="shared" ref="AA60" si="50">AA56*$C$10</f>
        <v>0</v>
      </c>
      <c r="AB60" s="675">
        <f t="shared" ref="AB60:AC60" si="51">AB56*$C$10</f>
        <v>0</v>
      </c>
      <c r="AC60" s="675">
        <f t="shared" si="51"/>
        <v>0</v>
      </c>
      <c r="AD60" s="675">
        <f t="shared" ref="AD60" si="52">AD56*$C$10</f>
        <v>0</v>
      </c>
      <c r="AE60" s="675">
        <f t="shared" ref="AE60" si="53">AE56*$C$10</f>
        <v>0</v>
      </c>
      <c r="AF60" s="675">
        <f t="shared" ref="AF60" si="54">AF56*$C$10</f>
        <v>0</v>
      </c>
      <c r="AG60" s="675">
        <f t="shared" ref="AG60:AH60" si="55">AG56*$C$10</f>
        <v>0</v>
      </c>
      <c r="AH60" s="675">
        <f t="shared" si="55"/>
        <v>0</v>
      </c>
      <c r="AI60" s="675">
        <f t="shared" ref="AI60" si="56">AI56*$C$10</f>
        <v>0</v>
      </c>
      <c r="AJ60" s="675">
        <f t="shared" ref="AJ60" si="57">AJ56*$C$10</f>
        <v>0</v>
      </c>
      <c r="AK60" s="675">
        <f t="shared" ref="AK60" si="58">AK56*$C$10</f>
        <v>0</v>
      </c>
      <c r="AL60" s="675">
        <f t="shared" ref="AL60:AM60" si="59">AL56*$C$10</f>
        <v>0</v>
      </c>
      <c r="AM60" s="675">
        <f t="shared" si="59"/>
        <v>0</v>
      </c>
      <c r="AN60" s="675">
        <f t="shared" ref="AN60" si="60">AN56*$C$10</f>
        <v>0</v>
      </c>
      <c r="AO60" s="675">
        <f t="shared" ref="AO60" si="61">AO56*$C$10</f>
        <v>0</v>
      </c>
      <c r="AP60" s="675">
        <f t="shared" ref="AP60" si="62">AP56*$C$10</f>
        <v>0</v>
      </c>
      <c r="AQ60" s="675">
        <f t="shared" ref="AQ60:AR60" si="63">AQ56*$C$10</f>
        <v>0</v>
      </c>
      <c r="AR60" s="675">
        <f t="shared" si="63"/>
        <v>0</v>
      </c>
      <c r="AS60" s="675">
        <f t="shared" ref="AS60" si="64">AS56*$C$10</f>
        <v>0</v>
      </c>
      <c r="AT60" s="675">
        <f t="shared" ref="AT60" si="65">AT56*$C$10</f>
        <v>0</v>
      </c>
      <c r="AU60" s="675">
        <f t="shared" ref="AU60" si="66">AU56*$C$10</f>
        <v>0</v>
      </c>
      <c r="AV60" s="676">
        <f t="shared" ref="AV60" si="67">AV56*$C$10</f>
        <v>0</v>
      </c>
    </row>
    <row r="61" spans="1:48" s="15" customFormat="1" ht="13.5" outlineLevel="1" x14ac:dyDescent="0.25">
      <c r="B61" s="857" t="s">
        <v>1574</v>
      </c>
      <c r="C61" s="818" t="s">
        <v>1573</v>
      </c>
      <c r="D61" s="675">
        <f>D60*$C$11</f>
        <v>0</v>
      </c>
      <c r="E61" s="675">
        <f t="shared" ref="E61:AV61" si="68">E60*$C$11</f>
        <v>1750</v>
      </c>
      <c r="F61" s="675">
        <f t="shared" si="68"/>
        <v>1750</v>
      </c>
      <c r="G61" s="675">
        <f t="shared" si="68"/>
        <v>1750</v>
      </c>
      <c r="H61" s="675">
        <f t="shared" si="68"/>
        <v>2800</v>
      </c>
      <c r="I61" s="675">
        <f t="shared" si="68"/>
        <v>2800</v>
      </c>
      <c r="J61" s="675">
        <f t="shared" si="68"/>
        <v>2800</v>
      </c>
      <c r="K61" s="675">
        <f t="shared" si="68"/>
        <v>2800</v>
      </c>
      <c r="L61" s="675">
        <f t="shared" si="68"/>
        <v>2800</v>
      </c>
      <c r="M61" s="675">
        <f t="shared" si="68"/>
        <v>4200</v>
      </c>
      <c r="N61" s="675">
        <f t="shared" si="68"/>
        <v>4200</v>
      </c>
      <c r="O61" s="675">
        <f t="shared" si="68"/>
        <v>4200</v>
      </c>
      <c r="P61" s="675">
        <f t="shared" si="68"/>
        <v>4200</v>
      </c>
      <c r="Q61" s="675">
        <f t="shared" si="68"/>
        <v>4200</v>
      </c>
      <c r="R61" s="675">
        <f t="shared" si="68"/>
        <v>0</v>
      </c>
      <c r="S61" s="675">
        <f t="shared" si="68"/>
        <v>0</v>
      </c>
      <c r="T61" s="675">
        <f t="shared" si="68"/>
        <v>0</v>
      </c>
      <c r="U61" s="675">
        <f t="shared" si="68"/>
        <v>0</v>
      </c>
      <c r="V61" s="675">
        <f t="shared" si="68"/>
        <v>0</v>
      </c>
      <c r="W61" s="675">
        <f t="shared" si="68"/>
        <v>0</v>
      </c>
      <c r="X61" s="675">
        <f t="shared" si="68"/>
        <v>0</v>
      </c>
      <c r="Y61" s="675">
        <f t="shared" si="68"/>
        <v>0</v>
      </c>
      <c r="Z61" s="675">
        <f t="shared" si="68"/>
        <v>0</v>
      </c>
      <c r="AA61" s="675">
        <f t="shared" si="68"/>
        <v>0</v>
      </c>
      <c r="AB61" s="675">
        <f t="shared" si="68"/>
        <v>0</v>
      </c>
      <c r="AC61" s="675">
        <f t="shared" si="68"/>
        <v>0</v>
      </c>
      <c r="AD61" s="675">
        <f t="shared" si="68"/>
        <v>0</v>
      </c>
      <c r="AE61" s="675">
        <f t="shared" si="68"/>
        <v>0</v>
      </c>
      <c r="AF61" s="675">
        <f t="shared" si="68"/>
        <v>0</v>
      </c>
      <c r="AG61" s="675">
        <f t="shared" si="68"/>
        <v>0</v>
      </c>
      <c r="AH61" s="675">
        <f t="shared" si="68"/>
        <v>0</v>
      </c>
      <c r="AI61" s="675">
        <f t="shared" si="68"/>
        <v>0</v>
      </c>
      <c r="AJ61" s="675">
        <f t="shared" si="68"/>
        <v>0</v>
      </c>
      <c r="AK61" s="675">
        <f t="shared" si="68"/>
        <v>0</v>
      </c>
      <c r="AL61" s="675">
        <f t="shared" si="68"/>
        <v>0</v>
      </c>
      <c r="AM61" s="675">
        <f t="shared" si="68"/>
        <v>0</v>
      </c>
      <c r="AN61" s="675">
        <f t="shared" si="68"/>
        <v>0</v>
      </c>
      <c r="AO61" s="675">
        <f t="shared" si="68"/>
        <v>0</v>
      </c>
      <c r="AP61" s="675">
        <f t="shared" si="68"/>
        <v>0</v>
      </c>
      <c r="AQ61" s="675">
        <f t="shared" si="68"/>
        <v>0</v>
      </c>
      <c r="AR61" s="675">
        <f t="shared" si="68"/>
        <v>0</v>
      </c>
      <c r="AS61" s="675">
        <f t="shared" si="68"/>
        <v>0</v>
      </c>
      <c r="AT61" s="675">
        <f t="shared" si="68"/>
        <v>0</v>
      </c>
      <c r="AU61" s="675">
        <f t="shared" si="68"/>
        <v>0</v>
      </c>
      <c r="AV61" s="676">
        <f t="shared" si="68"/>
        <v>0</v>
      </c>
    </row>
    <row r="62" spans="1:48" s="39" customFormat="1" ht="13.5" outlineLevel="1" x14ac:dyDescent="0.25">
      <c r="B62" s="689" t="s">
        <v>1575</v>
      </c>
      <c r="C62" s="693" t="s">
        <v>1573</v>
      </c>
      <c r="D62" s="710">
        <f t="shared" ref="D62:AV62" si="69">D58*$C$16*$C$17/1000</f>
        <v>0</v>
      </c>
      <c r="E62" s="710">
        <f t="shared" si="69"/>
        <v>41.0625</v>
      </c>
      <c r="F62" s="710">
        <f t="shared" si="69"/>
        <v>184.78125000000003</v>
      </c>
      <c r="G62" s="710">
        <f t="shared" si="69"/>
        <v>492.75</v>
      </c>
      <c r="H62" s="710">
        <f t="shared" si="69"/>
        <v>928.01250000000005</v>
      </c>
      <c r="I62" s="710">
        <f t="shared" si="69"/>
        <v>1424.8687500000003</v>
      </c>
      <c r="J62" s="710">
        <f t="shared" si="69"/>
        <v>2020.2750000000001</v>
      </c>
      <c r="K62" s="710">
        <f t="shared" si="69"/>
        <v>2677.2750000000005</v>
      </c>
      <c r="L62" s="710">
        <f t="shared" si="69"/>
        <v>3334.275000000001</v>
      </c>
      <c r="M62" s="710">
        <f t="shared" si="69"/>
        <v>4024.1250000000009</v>
      </c>
      <c r="N62" s="710">
        <f t="shared" si="69"/>
        <v>4796.1000000000004</v>
      </c>
      <c r="O62" s="710">
        <f t="shared" si="69"/>
        <v>5699.4750000000013</v>
      </c>
      <c r="P62" s="710">
        <f t="shared" si="69"/>
        <v>6684.9750000000004</v>
      </c>
      <c r="Q62" s="710">
        <f t="shared" si="69"/>
        <v>7670.4750000000004</v>
      </c>
      <c r="R62" s="710">
        <f t="shared" si="69"/>
        <v>8557.4249999999993</v>
      </c>
      <c r="S62" s="710">
        <f t="shared" si="69"/>
        <v>9198</v>
      </c>
      <c r="T62" s="710">
        <f t="shared" si="69"/>
        <v>9444.375</v>
      </c>
      <c r="U62" s="710">
        <f t="shared" si="69"/>
        <v>9444.375</v>
      </c>
      <c r="V62" s="710">
        <f t="shared" si="69"/>
        <v>9444.375</v>
      </c>
      <c r="W62" s="710">
        <f t="shared" si="69"/>
        <v>9444.375</v>
      </c>
      <c r="X62" s="710">
        <f t="shared" si="69"/>
        <v>9444.375</v>
      </c>
      <c r="Y62" s="710">
        <f t="shared" si="69"/>
        <v>9444.375</v>
      </c>
      <c r="Z62" s="710">
        <f t="shared" si="69"/>
        <v>9444.375</v>
      </c>
      <c r="AA62" s="710">
        <f t="shared" si="69"/>
        <v>9444.375</v>
      </c>
      <c r="AB62" s="710">
        <f t="shared" si="69"/>
        <v>9444.375</v>
      </c>
      <c r="AC62" s="710">
        <f t="shared" si="69"/>
        <v>9444.375</v>
      </c>
      <c r="AD62" s="710">
        <f t="shared" si="69"/>
        <v>9444.375</v>
      </c>
      <c r="AE62" s="710">
        <f t="shared" si="69"/>
        <v>9444.375</v>
      </c>
      <c r="AF62" s="710">
        <f t="shared" si="69"/>
        <v>9444.375</v>
      </c>
      <c r="AG62" s="710">
        <f t="shared" si="69"/>
        <v>9444.375</v>
      </c>
      <c r="AH62" s="710">
        <f t="shared" si="69"/>
        <v>9444.375</v>
      </c>
      <c r="AI62" s="710">
        <f t="shared" si="69"/>
        <v>9444.375</v>
      </c>
      <c r="AJ62" s="710">
        <f t="shared" si="69"/>
        <v>9444.375</v>
      </c>
      <c r="AK62" s="710">
        <f t="shared" si="69"/>
        <v>9444.375</v>
      </c>
      <c r="AL62" s="710">
        <f t="shared" si="69"/>
        <v>9444.375</v>
      </c>
      <c r="AM62" s="710">
        <f t="shared" si="69"/>
        <v>9444.375</v>
      </c>
      <c r="AN62" s="710">
        <f t="shared" si="69"/>
        <v>9444.375</v>
      </c>
      <c r="AO62" s="710">
        <f t="shared" si="69"/>
        <v>9444.375</v>
      </c>
      <c r="AP62" s="710">
        <f t="shared" si="69"/>
        <v>9444.375</v>
      </c>
      <c r="AQ62" s="710">
        <f t="shared" si="69"/>
        <v>9444.375</v>
      </c>
      <c r="AR62" s="710">
        <f t="shared" si="69"/>
        <v>9444.375</v>
      </c>
      <c r="AS62" s="710">
        <f t="shared" si="69"/>
        <v>9444.375</v>
      </c>
      <c r="AT62" s="710">
        <f t="shared" si="69"/>
        <v>9444.375</v>
      </c>
      <c r="AU62" s="710">
        <f t="shared" si="69"/>
        <v>9444.375</v>
      </c>
      <c r="AV62" s="426">
        <f t="shared" si="69"/>
        <v>9444.375</v>
      </c>
    </row>
    <row r="63" spans="1:48" s="15" customFormat="1" ht="13.5" outlineLevel="1" x14ac:dyDescent="0.25">
      <c r="B63" s="671" t="s">
        <v>1395</v>
      </c>
      <c r="C63" s="679" t="s">
        <v>1243</v>
      </c>
      <c r="D63" s="682">
        <f>D56*$C$13</f>
        <v>0</v>
      </c>
      <c r="E63" s="682">
        <f>D63+D56*$C$13*0.5+E56*$C$13*0.5</f>
        <v>43.75</v>
      </c>
      <c r="F63" s="682">
        <f t="shared" ref="F63:AV63" si="70">E63+E56*$C$13*0.5+F56*$C$13*0.5</f>
        <v>131.25</v>
      </c>
      <c r="G63" s="682">
        <f t="shared" si="70"/>
        <v>218.75</v>
      </c>
      <c r="H63" s="682">
        <f t="shared" si="70"/>
        <v>332.5</v>
      </c>
      <c r="I63" s="682">
        <f t="shared" si="70"/>
        <v>472.5</v>
      </c>
      <c r="J63" s="682">
        <f t="shared" si="70"/>
        <v>612.5</v>
      </c>
      <c r="K63" s="682">
        <f t="shared" si="70"/>
        <v>752.5</v>
      </c>
      <c r="L63" s="682">
        <f t="shared" si="70"/>
        <v>892.5</v>
      </c>
      <c r="M63" s="682">
        <f t="shared" si="70"/>
        <v>1067.5</v>
      </c>
      <c r="N63" s="682">
        <f t="shared" si="70"/>
        <v>1277.5</v>
      </c>
      <c r="O63" s="682">
        <f t="shared" si="70"/>
        <v>1487.5</v>
      </c>
      <c r="P63" s="682">
        <f t="shared" si="70"/>
        <v>1697.5</v>
      </c>
      <c r="Q63" s="682">
        <f t="shared" si="70"/>
        <v>1907.5</v>
      </c>
      <c r="R63" s="682">
        <f t="shared" si="70"/>
        <v>2012.5</v>
      </c>
      <c r="S63" s="682">
        <f t="shared" si="70"/>
        <v>2012.5</v>
      </c>
      <c r="T63" s="682">
        <f t="shared" si="70"/>
        <v>2012.5</v>
      </c>
      <c r="U63" s="682">
        <f t="shared" si="70"/>
        <v>2012.5</v>
      </c>
      <c r="V63" s="682">
        <f t="shared" si="70"/>
        <v>2012.5</v>
      </c>
      <c r="W63" s="682">
        <f t="shared" si="70"/>
        <v>2012.5</v>
      </c>
      <c r="X63" s="682">
        <f t="shared" si="70"/>
        <v>2012.5</v>
      </c>
      <c r="Y63" s="682">
        <f t="shared" si="70"/>
        <v>2012.5</v>
      </c>
      <c r="Z63" s="682">
        <f t="shared" si="70"/>
        <v>2012.5</v>
      </c>
      <c r="AA63" s="682">
        <f t="shared" si="70"/>
        <v>2012.5</v>
      </c>
      <c r="AB63" s="682">
        <f t="shared" si="70"/>
        <v>2012.5</v>
      </c>
      <c r="AC63" s="682">
        <f t="shared" si="70"/>
        <v>2012.5</v>
      </c>
      <c r="AD63" s="682">
        <f t="shared" si="70"/>
        <v>2012.5</v>
      </c>
      <c r="AE63" s="682">
        <f t="shared" si="70"/>
        <v>2012.5</v>
      </c>
      <c r="AF63" s="682">
        <f t="shared" si="70"/>
        <v>2012.5</v>
      </c>
      <c r="AG63" s="682">
        <f t="shared" si="70"/>
        <v>2012.5</v>
      </c>
      <c r="AH63" s="682">
        <f t="shared" si="70"/>
        <v>2012.5</v>
      </c>
      <c r="AI63" s="682">
        <f t="shared" si="70"/>
        <v>2012.5</v>
      </c>
      <c r="AJ63" s="682">
        <f t="shared" si="70"/>
        <v>2012.5</v>
      </c>
      <c r="AK63" s="682">
        <f t="shared" si="70"/>
        <v>2012.5</v>
      </c>
      <c r="AL63" s="682">
        <f t="shared" si="70"/>
        <v>2012.5</v>
      </c>
      <c r="AM63" s="682">
        <f t="shared" si="70"/>
        <v>2012.5</v>
      </c>
      <c r="AN63" s="682">
        <f t="shared" si="70"/>
        <v>2012.5</v>
      </c>
      <c r="AO63" s="682">
        <f t="shared" si="70"/>
        <v>2012.5</v>
      </c>
      <c r="AP63" s="682">
        <f t="shared" si="70"/>
        <v>2012.5</v>
      </c>
      <c r="AQ63" s="682">
        <f t="shared" si="70"/>
        <v>2012.5</v>
      </c>
      <c r="AR63" s="682">
        <f t="shared" si="70"/>
        <v>2012.5</v>
      </c>
      <c r="AS63" s="682">
        <f t="shared" si="70"/>
        <v>2012.5</v>
      </c>
      <c r="AT63" s="682">
        <f t="shared" si="70"/>
        <v>2012.5</v>
      </c>
      <c r="AU63" s="682">
        <f t="shared" si="70"/>
        <v>2012.5</v>
      </c>
      <c r="AV63" s="428">
        <f t="shared" si="70"/>
        <v>2012.5</v>
      </c>
    </row>
    <row r="64" spans="1:48" s="15" customFormat="1" ht="13.5" outlineLevel="1" x14ac:dyDescent="0.25">
      <c r="B64" s="671" t="s">
        <v>1576</v>
      </c>
      <c r="C64" s="679" t="s">
        <v>1573</v>
      </c>
      <c r="D64" s="682">
        <f>D62*$C$14</f>
        <v>0</v>
      </c>
      <c r="E64" s="682">
        <f t="shared" ref="E64:AV64" si="71">E62*$C$14</f>
        <v>1.6425000000000001</v>
      </c>
      <c r="F64" s="682">
        <f t="shared" si="71"/>
        <v>7.3912500000000012</v>
      </c>
      <c r="G64" s="682">
        <f t="shared" si="71"/>
        <v>19.71</v>
      </c>
      <c r="H64" s="682">
        <f t="shared" si="71"/>
        <v>37.1205</v>
      </c>
      <c r="I64" s="682">
        <f t="shared" si="71"/>
        <v>56.99475000000001</v>
      </c>
      <c r="J64" s="682">
        <f t="shared" si="71"/>
        <v>80.811000000000007</v>
      </c>
      <c r="K64" s="682">
        <f t="shared" si="71"/>
        <v>107.09100000000002</v>
      </c>
      <c r="L64" s="682">
        <f t="shared" si="71"/>
        <v>133.37100000000004</v>
      </c>
      <c r="M64" s="682">
        <f t="shared" si="71"/>
        <v>160.96500000000003</v>
      </c>
      <c r="N64" s="682">
        <f t="shared" si="71"/>
        <v>191.84400000000002</v>
      </c>
      <c r="O64" s="682">
        <f t="shared" si="71"/>
        <v>227.97900000000004</v>
      </c>
      <c r="P64" s="682">
        <f t="shared" si="71"/>
        <v>267.399</v>
      </c>
      <c r="Q64" s="682">
        <f t="shared" si="71"/>
        <v>306.81900000000002</v>
      </c>
      <c r="R64" s="682">
        <f t="shared" si="71"/>
        <v>342.29699999999997</v>
      </c>
      <c r="S64" s="682">
        <f t="shared" si="71"/>
        <v>367.92</v>
      </c>
      <c r="T64" s="682">
        <f t="shared" si="71"/>
        <v>377.77500000000003</v>
      </c>
      <c r="U64" s="682">
        <f t="shared" si="71"/>
        <v>377.77500000000003</v>
      </c>
      <c r="V64" s="682">
        <f t="shared" si="71"/>
        <v>377.77500000000003</v>
      </c>
      <c r="W64" s="682">
        <f t="shared" si="71"/>
        <v>377.77500000000003</v>
      </c>
      <c r="X64" s="682">
        <f t="shared" si="71"/>
        <v>377.77500000000003</v>
      </c>
      <c r="Y64" s="682">
        <f t="shared" si="71"/>
        <v>377.77500000000003</v>
      </c>
      <c r="Z64" s="682">
        <f t="shared" si="71"/>
        <v>377.77500000000003</v>
      </c>
      <c r="AA64" s="682">
        <f t="shared" si="71"/>
        <v>377.77500000000003</v>
      </c>
      <c r="AB64" s="682">
        <f t="shared" si="71"/>
        <v>377.77500000000003</v>
      </c>
      <c r="AC64" s="682">
        <f t="shared" si="71"/>
        <v>377.77500000000003</v>
      </c>
      <c r="AD64" s="682">
        <f t="shared" si="71"/>
        <v>377.77500000000003</v>
      </c>
      <c r="AE64" s="682">
        <f t="shared" si="71"/>
        <v>377.77500000000003</v>
      </c>
      <c r="AF64" s="682">
        <f t="shared" si="71"/>
        <v>377.77500000000003</v>
      </c>
      <c r="AG64" s="682">
        <f t="shared" si="71"/>
        <v>377.77500000000003</v>
      </c>
      <c r="AH64" s="682">
        <f t="shared" si="71"/>
        <v>377.77500000000003</v>
      </c>
      <c r="AI64" s="682">
        <f t="shared" si="71"/>
        <v>377.77500000000003</v>
      </c>
      <c r="AJ64" s="682">
        <f t="shared" si="71"/>
        <v>377.77500000000003</v>
      </c>
      <c r="AK64" s="682">
        <f t="shared" si="71"/>
        <v>377.77500000000003</v>
      </c>
      <c r="AL64" s="682">
        <f t="shared" si="71"/>
        <v>377.77500000000003</v>
      </c>
      <c r="AM64" s="682">
        <f t="shared" si="71"/>
        <v>377.77500000000003</v>
      </c>
      <c r="AN64" s="682">
        <f t="shared" si="71"/>
        <v>377.77500000000003</v>
      </c>
      <c r="AO64" s="682">
        <f t="shared" si="71"/>
        <v>377.77500000000003</v>
      </c>
      <c r="AP64" s="682">
        <f t="shared" si="71"/>
        <v>377.77500000000003</v>
      </c>
      <c r="AQ64" s="682">
        <f t="shared" si="71"/>
        <v>377.77500000000003</v>
      </c>
      <c r="AR64" s="682">
        <f t="shared" si="71"/>
        <v>377.77500000000003</v>
      </c>
      <c r="AS64" s="682">
        <f t="shared" si="71"/>
        <v>377.77500000000003</v>
      </c>
      <c r="AT64" s="682">
        <f t="shared" si="71"/>
        <v>377.77500000000003</v>
      </c>
      <c r="AU64" s="682">
        <f t="shared" si="71"/>
        <v>377.77500000000003</v>
      </c>
      <c r="AV64" s="428">
        <f t="shared" si="71"/>
        <v>377.77500000000003</v>
      </c>
    </row>
    <row r="65" spans="2:48" s="15" customFormat="1" ht="13.5" outlineLevel="1" x14ac:dyDescent="0.25">
      <c r="B65" s="671" t="s">
        <v>1577</v>
      </c>
      <c r="C65" s="679" t="s">
        <v>1573</v>
      </c>
      <c r="D65" s="682">
        <f>D70*$C$18*$C$19/1000</f>
        <v>0</v>
      </c>
      <c r="E65" s="682">
        <f t="shared" ref="E65:R65" si="72">E70*$C$18*$C$19/1000</f>
        <v>2.7942781552888887</v>
      </c>
      <c r="F65" s="682">
        <f t="shared" si="72"/>
        <v>12.549103195402401</v>
      </c>
      <c r="G65" s="682">
        <f t="shared" si="72"/>
        <v>33.397346637364244</v>
      </c>
      <c r="H65" s="682">
        <f t="shared" si="72"/>
        <v>62.772539494701917</v>
      </c>
      <c r="I65" s="682">
        <f t="shared" si="72"/>
        <v>96.188084346248871</v>
      </c>
      <c r="J65" s="682">
        <f t="shared" si="72"/>
        <v>136.10918853993581</v>
      </c>
      <c r="K65" s="682">
        <f t="shared" si="72"/>
        <v>180.01159460606115</v>
      </c>
      <c r="L65" s="682">
        <f t="shared" si="72"/>
        <v>223.73784661116781</v>
      </c>
      <c r="M65" s="682">
        <f t="shared" si="72"/>
        <v>269.48837869407214</v>
      </c>
      <c r="N65" s="682">
        <f t="shared" si="72"/>
        <v>320.54377700208869</v>
      </c>
      <c r="O65" s="682">
        <f t="shared" si="72"/>
        <v>380.15833300851142</v>
      </c>
      <c r="P65" s="682">
        <f t="shared" si="72"/>
        <v>444.99997882246458</v>
      </c>
      <c r="Q65" s="682">
        <f t="shared" si="72"/>
        <v>509.58073741982986</v>
      </c>
      <c r="R65" s="682">
        <f t="shared" si="72"/>
        <v>567.36741127910057</v>
      </c>
      <c r="S65" s="682">
        <f t="shared" ref="S65:AV65" si="73">S70*$C$18*$C$19/1000</f>
        <v>608.61861576902822</v>
      </c>
      <c r="T65" s="682">
        <f t="shared" si="73"/>
        <v>623.67105831974436</v>
      </c>
      <c r="U65" s="682">
        <f t="shared" si="73"/>
        <v>622.42371620310485</v>
      </c>
      <c r="V65" s="682">
        <f t="shared" si="73"/>
        <v>621.1788687706985</v>
      </c>
      <c r="W65" s="682">
        <f t="shared" si="73"/>
        <v>619.93651103315722</v>
      </c>
      <c r="X65" s="682">
        <f t="shared" si="73"/>
        <v>618.69663801109095</v>
      </c>
      <c r="Y65" s="682">
        <f t="shared" si="73"/>
        <v>617.45924473506864</v>
      </c>
      <c r="Z65" s="682">
        <f t="shared" si="73"/>
        <v>616.22432624559849</v>
      </c>
      <c r="AA65" s="682">
        <f t="shared" si="73"/>
        <v>614.99187759310723</v>
      </c>
      <c r="AB65" s="682">
        <f t="shared" si="73"/>
        <v>613.76189383792109</v>
      </c>
      <c r="AC65" s="682">
        <f t="shared" si="73"/>
        <v>612.53437005024534</v>
      </c>
      <c r="AD65" s="682">
        <f t="shared" si="73"/>
        <v>611.30930131014475</v>
      </c>
      <c r="AE65" s="682">
        <f t="shared" si="73"/>
        <v>610.08668270752446</v>
      </c>
      <c r="AF65" s="682">
        <f t="shared" si="73"/>
        <v>608.86650934210945</v>
      </c>
      <c r="AG65" s="682">
        <f t="shared" si="73"/>
        <v>607.64877632342507</v>
      </c>
      <c r="AH65" s="682">
        <f t="shared" si="73"/>
        <v>606.43347877077827</v>
      </c>
      <c r="AI65" s="682">
        <f t="shared" si="73"/>
        <v>605.22061181323681</v>
      </c>
      <c r="AJ65" s="682">
        <f t="shared" si="73"/>
        <v>604.01017058961031</v>
      </c>
      <c r="AK65" s="682">
        <f t="shared" si="73"/>
        <v>602.80215024843119</v>
      </c>
      <c r="AL65" s="682">
        <f t="shared" si="73"/>
        <v>601.59654594793426</v>
      </c>
      <c r="AM65" s="682">
        <f t="shared" si="73"/>
        <v>600.39335285603852</v>
      </c>
      <c r="AN65" s="682">
        <f t="shared" si="73"/>
        <v>599.19256615032657</v>
      </c>
      <c r="AO65" s="682">
        <f t="shared" si="73"/>
        <v>597.99418101802576</v>
      </c>
      <c r="AP65" s="682">
        <f t="shared" si="73"/>
        <v>596.79819265598962</v>
      </c>
      <c r="AQ65" s="682">
        <f t="shared" si="73"/>
        <v>595.60459627067769</v>
      </c>
      <c r="AR65" s="682">
        <f t="shared" si="73"/>
        <v>594.41338707813634</v>
      </c>
      <c r="AS65" s="682">
        <f t="shared" si="73"/>
        <v>593.22456030398018</v>
      </c>
      <c r="AT65" s="682">
        <f t="shared" si="73"/>
        <v>592.03811118337217</v>
      </c>
      <c r="AU65" s="682">
        <f t="shared" si="73"/>
        <v>590.8540349610056</v>
      </c>
      <c r="AV65" s="428">
        <f t="shared" si="73"/>
        <v>589.67232689108346</v>
      </c>
    </row>
    <row r="66" spans="2:48" s="39" customFormat="1" ht="13.5" outlineLevel="1" x14ac:dyDescent="0.25">
      <c r="B66" s="689" t="s">
        <v>1578</v>
      </c>
      <c r="C66" s="693" t="s">
        <v>1243</v>
      </c>
      <c r="D66" s="710">
        <f>D60-D62+D63+D64+D65</f>
        <v>0</v>
      </c>
      <c r="E66" s="710">
        <f t="shared" ref="E66:R66" si="74">E60-E62+E63+E64+E65</f>
        <v>3507.1242781552887</v>
      </c>
      <c r="F66" s="710">
        <f t="shared" si="74"/>
        <v>3466.4091031954026</v>
      </c>
      <c r="G66" s="710">
        <f t="shared" si="74"/>
        <v>3279.1073466373641</v>
      </c>
      <c r="H66" s="710">
        <f t="shared" si="74"/>
        <v>5104.3805394947021</v>
      </c>
      <c r="I66" s="710">
        <f t="shared" si="74"/>
        <v>4800.8140843462479</v>
      </c>
      <c r="J66" s="710">
        <f t="shared" si="74"/>
        <v>4409.1451885399356</v>
      </c>
      <c r="K66" s="710">
        <f t="shared" si="74"/>
        <v>3962.3275946060603</v>
      </c>
      <c r="L66" s="710">
        <f t="shared" si="74"/>
        <v>3515.3338466111668</v>
      </c>
      <c r="M66" s="710">
        <f t="shared" si="74"/>
        <v>5873.828378694071</v>
      </c>
      <c r="N66" s="710">
        <f t="shared" si="74"/>
        <v>5393.7877770020887</v>
      </c>
      <c r="O66" s="710">
        <f t="shared" si="74"/>
        <v>4796.1623330085104</v>
      </c>
      <c r="P66" s="710">
        <f t="shared" si="74"/>
        <v>4124.9239788224641</v>
      </c>
      <c r="Q66" s="710">
        <f t="shared" si="74"/>
        <v>3453.4247374198294</v>
      </c>
      <c r="R66" s="710">
        <f t="shared" si="74"/>
        <v>-5635.2605887208992</v>
      </c>
      <c r="S66" s="710">
        <f t="shared" ref="S66" si="75">S60-S62+S63+S64+S65</f>
        <v>-6208.9613842309718</v>
      </c>
      <c r="T66" s="710">
        <f t="shared" ref="T66" si="76">T60-T62+T63+T64+T65</f>
        <v>-6430.4289416802558</v>
      </c>
      <c r="U66" s="710">
        <f t="shared" ref="U66" si="77">U60-U62+U63+U64+U65</f>
        <v>-6431.6762837968954</v>
      </c>
      <c r="V66" s="710">
        <f t="shared" ref="V66" si="78">V60-V62+V63+V64+V65</f>
        <v>-6432.9211312293019</v>
      </c>
      <c r="W66" s="710">
        <f t="shared" ref="W66" si="79">W60-W62+W63+W64+W65</f>
        <v>-6434.163488966843</v>
      </c>
      <c r="X66" s="710">
        <f t="shared" ref="X66" si="80">X60-X62+X63+X64+X65</f>
        <v>-6435.4033619889096</v>
      </c>
      <c r="Y66" s="710">
        <f t="shared" ref="Y66" si="81">Y60-Y62+Y63+Y64+Y65</f>
        <v>-6436.6407552649316</v>
      </c>
      <c r="Z66" s="710">
        <f t="shared" ref="Z66" si="82">Z60-Z62+Z63+Z64+Z65</f>
        <v>-6437.8756737544018</v>
      </c>
      <c r="AA66" s="710">
        <f t="shared" ref="AA66" si="83">AA60-AA62+AA63+AA64+AA65</f>
        <v>-6439.108122406893</v>
      </c>
      <c r="AB66" s="710">
        <f t="shared" ref="AB66" si="84">AB60-AB62+AB63+AB64+AB65</f>
        <v>-6440.3381061620794</v>
      </c>
      <c r="AC66" s="710">
        <f t="shared" ref="AC66" si="85">AC60-AC62+AC63+AC64+AC65</f>
        <v>-6441.565629949755</v>
      </c>
      <c r="AD66" s="710">
        <f t="shared" ref="AD66" si="86">AD60-AD62+AD63+AD64+AD65</f>
        <v>-6442.7906986898561</v>
      </c>
      <c r="AE66" s="710">
        <f t="shared" ref="AE66:AF66" si="87">AE60-AE62+AE63+AE64+AE65</f>
        <v>-6444.0133172924761</v>
      </c>
      <c r="AF66" s="710">
        <f t="shared" si="87"/>
        <v>-6445.2334906578908</v>
      </c>
      <c r="AG66" s="710">
        <f t="shared" ref="AG66" si="88">AG60-AG62+AG63+AG64+AG65</f>
        <v>-6446.451223676575</v>
      </c>
      <c r="AH66" s="710">
        <f t="shared" ref="AH66" si="89">AH60-AH62+AH63+AH64+AH65</f>
        <v>-6447.6665212292219</v>
      </c>
      <c r="AI66" s="710">
        <f t="shared" ref="AI66" si="90">AI60-AI62+AI63+AI64+AI65</f>
        <v>-6448.8793881867632</v>
      </c>
      <c r="AJ66" s="710">
        <f t="shared" ref="AJ66" si="91">AJ60-AJ62+AJ63+AJ64+AJ65</f>
        <v>-6450.0898294103899</v>
      </c>
      <c r="AK66" s="710">
        <f t="shared" ref="AK66" si="92">AK60-AK62+AK63+AK64+AK65</f>
        <v>-6451.2978497515687</v>
      </c>
      <c r="AL66" s="710">
        <f t="shared" ref="AL66" si="93">AL60-AL62+AL63+AL64+AL65</f>
        <v>-6452.5034540520664</v>
      </c>
      <c r="AM66" s="710">
        <f t="shared" ref="AM66" si="94">AM60-AM62+AM63+AM64+AM65</f>
        <v>-6453.7066471439621</v>
      </c>
      <c r="AN66" s="710">
        <f t="shared" ref="AN66" si="95">AN60-AN62+AN63+AN64+AN65</f>
        <v>-6454.9074338496739</v>
      </c>
      <c r="AO66" s="710">
        <f t="shared" ref="AO66" si="96">AO60-AO62+AO63+AO64+AO65</f>
        <v>-6456.1058189819742</v>
      </c>
      <c r="AP66" s="710">
        <f t="shared" ref="AP66" si="97">AP60-AP62+AP63+AP64+AP65</f>
        <v>-6457.3018073440107</v>
      </c>
      <c r="AQ66" s="710">
        <f t="shared" ref="AQ66" si="98">AQ60-AQ62+AQ63+AQ64+AQ65</f>
        <v>-6458.4954037293228</v>
      </c>
      <c r="AR66" s="710">
        <f t="shared" ref="AR66" si="99">AR60-AR62+AR63+AR64+AR65</f>
        <v>-6459.6866129218643</v>
      </c>
      <c r="AS66" s="710">
        <f t="shared" ref="AS66:AT66" si="100">AS60-AS62+AS63+AS64+AS65</f>
        <v>-6460.8754396960203</v>
      </c>
      <c r="AT66" s="710">
        <f t="shared" si="100"/>
        <v>-6462.0618888166282</v>
      </c>
      <c r="AU66" s="710">
        <f t="shared" ref="AU66" si="101">AU60-AU62+AU63+AU64+AU65</f>
        <v>-6463.2459650389947</v>
      </c>
      <c r="AV66" s="426">
        <f t="shared" ref="AV66" si="102">AV60-AV62+AV63+AV64+AV65</f>
        <v>-6464.4276731089167</v>
      </c>
    </row>
    <row r="67" spans="2:48" s="15" customFormat="1" ht="13.5" outlineLevel="1" x14ac:dyDescent="0.25">
      <c r="B67" s="817"/>
      <c r="C67" s="818"/>
      <c r="D67" s="675"/>
      <c r="E67" s="675"/>
      <c r="F67" s="675"/>
      <c r="G67" s="675"/>
      <c r="H67" s="675"/>
      <c r="I67" s="675"/>
      <c r="J67" s="675"/>
      <c r="K67" s="675"/>
      <c r="L67" s="675"/>
      <c r="M67" s="675"/>
      <c r="N67" s="675"/>
      <c r="O67" s="675"/>
      <c r="P67" s="675"/>
      <c r="Q67" s="675"/>
      <c r="R67" s="675"/>
      <c r="S67" s="675"/>
      <c r="T67" s="675"/>
      <c r="U67" s="675"/>
      <c r="V67" s="675"/>
      <c r="W67" s="675"/>
      <c r="X67" s="675"/>
      <c r="Y67" s="675"/>
      <c r="Z67" s="675"/>
      <c r="AA67" s="675"/>
      <c r="AB67" s="675"/>
      <c r="AC67" s="675"/>
      <c r="AD67" s="675"/>
      <c r="AE67" s="675"/>
      <c r="AF67" s="675"/>
      <c r="AG67" s="675"/>
      <c r="AH67" s="675"/>
      <c r="AI67" s="675"/>
      <c r="AJ67" s="675"/>
      <c r="AK67" s="675"/>
      <c r="AL67" s="675"/>
      <c r="AM67" s="675"/>
      <c r="AN67" s="675"/>
      <c r="AO67" s="675"/>
      <c r="AP67" s="675"/>
      <c r="AQ67" s="675"/>
      <c r="AR67" s="675"/>
      <c r="AS67" s="675"/>
      <c r="AT67" s="675"/>
      <c r="AU67" s="675"/>
      <c r="AV67" s="676"/>
    </row>
    <row r="68" spans="2:48" s="15" customFormat="1" ht="13.5" outlineLevel="1" x14ac:dyDescent="0.25">
      <c r="B68" s="817" t="s">
        <v>1579</v>
      </c>
      <c r="C68" s="818" t="s">
        <v>657</v>
      </c>
      <c r="D68" s="675">
        <f>D57*$C$21</f>
        <v>0</v>
      </c>
      <c r="E68" s="675">
        <f t="shared" ref="E68:AV68" si="103">E57*$C$21</f>
        <v>1250</v>
      </c>
      <c r="F68" s="675">
        <f t="shared" si="103"/>
        <v>5625</v>
      </c>
      <c r="G68" s="675">
        <f t="shared" si="103"/>
        <v>15000</v>
      </c>
      <c r="H68" s="675">
        <f t="shared" si="103"/>
        <v>28250</v>
      </c>
      <c r="I68" s="675">
        <f t="shared" si="103"/>
        <v>43375</v>
      </c>
      <c r="J68" s="675">
        <f t="shared" si="103"/>
        <v>61500</v>
      </c>
      <c r="K68" s="675">
        <f t="shared" si="103"/>
        <v>81500</v>
      </c>
      <c r="L68" s="675">
        <f t="shared" si="103"/>
        <v>101500</v>
      </c>
      <c r="M68" s="675">
        <f t="shared" si="103"/>
        <v>122500</v>
      </c>
      <c r="N68" s="675">
        <f t="shared" si="103"/>
        <v>146000</v>
      </c>
      <c r="O68" s="675">
        <f t="shared" si="103"/>
        <v>173500</v>
      </c>
      <c r="P68" s="675">
        <f t="shared" si="103"/>
        <v>203500</v>
      </c>
      <c r="Q68" s="675">
        <f t="shared" si="103"/>
        <v>233500</v>
      </c>
      <c r="R68" s="675">
        <f t="shared" si="103"/>
        <v>260500</v>
      </c>
      <c r="S68" s="675">
        <f t="shared" si="103"/>
        <v>280000</v>
      </c>
      <c r="T68" s="675">
        <f t="shared" si="103"/>
        <v>287500</v>
      </c>
      <c r="U68" s="675">
        <f t="shared" si="103"/>
        <v>287500</v>
      </c>
      <c r="V68" s="675">
        <f t="shared" si="103"/>
        <v>287500</v>
      </c>
      <c r="W68" s="675">
        <f t="shared" si="103"/>
        <v>287500</v>
      </c>
      <c r="X68" s="675">
        <f t="shared" si="103"/>
        <v>287500</v>
      </c>
      <c r="Y68" s="675">
        <f t="shared" si="103"/>
        <v>287500</v>
      </c>
      <c r="Z68" s="675">
        <f t="shared" si="103"/>
        <v>287500</v>
      </c>
      <c r="AA68" s="675">
        <f t="shared" si="103"/>
        <v>287500</v>
      </c>
      <c r="AB68" s="675">
        <f t="shared" si="103"/>
        <v>287500</v>
      </c>
      <c r="AC68" s="675">
        <f t="shared" si="103"/>
        <v>287500</v>
      </c>
      <c r="AD68" s="675">
        <f t="shared" si="103"/>
        <v>287500</v>
      </c>
      <c r="AE68" s="675">
        <f t="shared" si="103"/>
        <v>287500</v>
      </c>
      <c r="AF68" s="675">
        <f t="shared" si="103"/>
        <v>287500</v>
      </c>
      <c r="AG68" s="675">
        <f t="shared" si="103"/>
        <v>287500</v>
      </c>
      <c r="AH68" s="675">
        <f t="shared" si="103"/>
        <v>287500</v>
      </c>
      <c r="AI68" s="675">
        <f t="shared" si="103"/>
        <v>287500</v>
      </c>
      <c r="AJ68" s="675">
        <f t="shared" si="103"/>
        <v>287500</v>
      </c>
      <c r="AK68" s="675">
        <f t="shared" si="103"/>
        <v>287500</v>
      </c>
      <c r="AL68" s="675">
        <f t="shared" si="103"/>
        <v>287500</v>
      </c>
      <c r="AM68" s="675">
        <f t="shared" si="103"/>
        <v>287500</v>
      </c>
      <c r="AN68" s="675">
        <f t="shared" si="103"/>
        <v>287500</v>
      </c>
      <c r="AO68" s="675">
        <f t="shared" si="103"/>
        <v>287500</v>
      </c>
      <c r="AP68" s="675">
        <f t="shared" si="103"/>
        <v>287500</v>
      </c>
      <c r="AQ68" s="675">
        <f t="shared" si="103"/>
        <v>287500</v>
      </c>
      <c r="AR68" s="675">
        <f t="shared" si="103"/>
        <v>287500</v>
      </c>
      <c r="AS68" s="675">
        <f t="shared" si="103"/>
        <v>287500</v>
      </c>
      <c r="AT68" s="675">
        <f t="shared" si="103"/>
        <v>287500</v>
      </c>
      <c r="AU68" s="675">
        <f t="shared" si="103"/>
        <v>287500</v>
      </c>
      <c r="AV68" s="676">
        <f t="shared" si="103"/>
        <v>287500</v>
      </c>
    </row>
    <row r="69" spans="2:48" s="15" customFormat="1" ht="13.5" outlineLevel="1" x14ac:dyDescent="0.25">
      <c r="B69" s="817" t="s">
        <v>1580</v>
      </c>
      <c r="C69" s="818" t="s">
        <v>1286</v>
      </c>
      <c r="D69" s="675">
        <f>D57*$C$21/100*SISENDID!F241</f>
        <v>0</v>
      </c>
      <c r="E69" s="675">
        <f>E57*$C$21/100*SISENDID!G241</f>
        <v>88.848138808000016</v>
      </c>
      <c r="F69" s="675">
        <f>F57*$C$21/100*SISENDID!H241</f>
        <v>395.01882514036805</v>
      </c>
      <c r="G69" s="675">
        <f>G57*$C$21/100*SISENDID!I241</f>
        <v>1040.7429313031562</v>
      </c>
      <c r="H69" s="675">
        <f>H57*$C$21/100*SISENDID!J241</f>
        <v>1936.5450637068261</v>
      </c>
      <c r="I69" s="675">
        <f>I57*$C$21/100*SISENDID!K241</f>
        <v>2937.687448942449</v>
      </c>
      <c r="J69" s="675">
        <f>J57*$C$21/100*SISENDID!L241</f>
        <v>4115.2683521069994</v>
      </c>
      <c r="K69" s="675">
        <f>K57*$C$21/100*SISENDID!M241</f>
        <v>5388.124199160322</v>
      </c>
      <c r="L69" s="675">
        <f>L57*$C$21/100*SISENDID!N241</f>
        <v>6629.8389072416612</v>
      </c>
      <c r="M69" s="675">
        <f>M57*$C$21/100*SISENDID!O241</f>
        <v>7905.51135904885</v>
      </c>
      <c r="N69" s="675">
        <f>N57*$C$21/100*SISENDID!P241</f>
        <v>9309.0138981230903</v>
      </c>
      <c r="O69" s="675">
        <f>O57*$C$21/100*SISENDID!Q241</f>
        <v>10929.67496156482</v>
      </c>
      <c r="P69" s="675">
        <f>P57*$C$21/100*SISENDID!R241</f>
        <v>12665.697915978673</v>
      </c>
      <c r="Q69" s="675">
        <f>Q57*$C$21/100*SISENDID!S241</f>
        <v>14358.482446292126</v>
      </c>
      <c r="R69" s="675">
        <f>R57*$C$21/100*SISENDID!T241</f>
        <v>15826.552724334002</v>
      </c>
      <c r="S69" s="675">
        <f>S57*$C$21/100*SISENDID!U241</f>
        <v>16807.13069351155</v>
      </c>
      <c r="T69" s="675">
        <f>T57*$C$21/100*SISENDID!V241</f>
        <v>17050.233833899842</v>
      </c>
      <c r="U69" s="675">
        <f>U57*$C$21/100*SISENDID!W241</f>
        <v>16845.631027893043</v>
      </c>
      <c r="V69" s="675">
        <f>V57*$C$21/100*SISENDID!X241</f>
        <v>16643.483455558326</v>
      </c>
      <c r="W69" s="675">
        <f>W57*$C$21/100*SISENDID!Y241</f>
        <v>16443.761654091624</v>
      </c>
      <c r="X69" s="675">
        <f>X57*$C$21/100*SISENDID!Z241</f>
        <v>16246.436514242527</v>
      </c>
      <c r="Y69" s="675">
        <f>Y57*$C$21/100*SISENDID!AA241</f>
        <v>16051.479276071615</v>
      </c>
      <c r="Z69" s="675">
        <f>Z57*$C$21/100*SISENDID!AB241</f>
        <v>15858.861524758757</v>
      </c>
      <c r="AA69" s="675">
        <f>AA57*$C$21/100*SISENDID!AC241</f>
        <v>15668.555186461654</v>
      </c>
      <c r="AB69" s="675">
        <f>AB57*$C$21/100*SISENDID!AD241</f>
        <v>15480.532524224114</v>
      </c>
      <c r="AC69" s="675">
        <f>AC57*$C$21/100*SISENDID!AE241</f>
        <v>15480.532524224114</v>
      </c>
      <c r="AD69" s="675">
        <f>AD57*$C$21/100*SISENDID!AF241</f>
        <v>15480.532524224114</v>
      </c>
      <c r="AE69" s="675">
        <f>AE57*$C$21/100*SISENDID!AG241</f>
        <v>15480.532524224114</v>
      </c>
      <c r="AF69" s="675">
        <f>AF57*$C$21/100*SISENDID!AH241</f>
        <v>15480.532524224114</v>
      </c>
      <c r="AG69" s="675">
        <f>AG57*$C$21/100*SISENDID!AI241</f>
        <v>15480.532524224114</v>
      </c>
      <c r="AH69" s="675">
        <f>AH57*$C$21/100*SISENDID!AJ241</f>
        <v>15480.532524224114</v>
      </c>
      <c r="AI69" s="675">
        <f>AI57*$C$21/100*SISENDID!AK241</f>
        <v>15480.532524224114</v>
      </c>
      <c r="AJ69" s="675">
        <f>AJ57*$C$21/100*SISENDID!AL241</f>
        <v>15480.532524224114</v>
      </c>
      <c r="AK69" s="675">
        <f>AK57*$C$21/100*SISENDID!AM241</f>
        <v>15480.532524224114</v>
      </c>
      <c r="AL69" s="675">
        <f>AL57*$C$21/100*SISENDID!AN241</f>
        <v>15480.532524224114</v>
      </c>
      <c r="AM69" s="675">
        <f>AM57*$C$21/100*SISENDID!AO241</f>
        <v>15480.532524224114</v>
      </c>
      <c r="AN69" s="675">
        <f>AN57*$C$21/100*SISENDID!AP241</f>
        <v>15480.532524224114</v>
      </c>
      <c r="AO69" s="675">
        <f>AO57*$C$21/100*SISENDID!AQ241</f>
        <v>15480.532524224114</v>
      </c>
      <c r="AP69" s="675">
        <f>AP57*$C$21/100*SISENDID!AR241</f>
        <v>15480.532524224114</v>
      </c>
      <c r="AQ69" s="675">
        <f>AQ57*$C$21/100*SISENDID!AS241</f>
        <v>15480.532524224114</v>
      </c>
      <c r="AR69" s="675">
        <f>AR57*$C$21/100*SISENDID!AT241</f>
        <v>15480.532524224114</v>
      </c>
      <c r="AS69" s="675">
        <f>AS57*$C$21/100*SISENDID!AU241</f>
        <v>15480.532524224114</v>
      </c>
      <c r="AT69" s="675">
        <f>AT57*$C$21/100*SISENDID!AV241</f>
        <v>15480.532524224114</v>
      </c>
      <c r="AU69" s="675">
        <f>AU57*$C$21/100*SISENDID!AW241</f>
        <v>15480.532524224114</v>
      </c>
      <c r="AV69" s="676">
        <f>AV57*$C$21/100*SISENDID!AX241</f>
        <v>15480.532524224114</v>
      </c>
    </row>
    <row r="70" spans="2:48" s="15" customFormat="1" ht="13.5" outlineLevel="1" x14ac:dyDescent="0.25">
      <c r="B70" s="817" t="s">
        <v>1581</v>
      </c>
      <c r="C70" s="818" t="s">
        <v>659</v>
      </c>
      <c r="D70" s="675">
        <f>D57*$C$21/100*SISENDID!F248/(1-$C$18)</f>
        <v>0</v>
      </c>
      <c r="E70" s="675">
        <f>E57*$C$21/100*SISENDID!G248/(1-$C$18)</f>
        <v>279.42781552888886</v>
      </c>
      <c r="F70" s="675">
        <f>F57*$C$21/100*SISENDID!H248/(1-$C$18)</f>
        <v>1254.9103195402399</v>
      </c>
      <c r="G70" s="675">
        <f>G57*$C$21/100*SISENDID!I248/(1-$C$18)</f>
        <v>3339.7346637364244</v>
      </c>
      <c r="H70" s="675">
        <f>H57*$C$21/100*SISENDID!J248/(1-$C$18)</f>
        <v>6277.2539494701914</v>
      </c>
      <c r="I70" s="675">
        <f>I57*$C$21/100*SISENDID!K248/(1-$C$18)</f>
        <v>9618.808434624887</v>
      </c>
      <c r="J70" s="675">
        <f>J57*$C$21/100*SISENDID!L248/(1-$C$18)</f>
        <v>13610.918853993582</v>
      </c>
      <c r="K70" s="675">
        <f>K57*$C$21/100*SISENDID!M248/(1-$C$18)</f>
        <v>18001.159460606115</v>
      </c>
      <c r="L70" s="675">
        <f>L57*$C$21/100*SISENDID!N248/(1-$C$18)</f>
        <v>22373.784661116777</v>
      </c>
      <c r="M70" s="675">
        <f>M57*$C$21/100*SISENDID!O248/(1-$C$18)</f>
        <v>26948.837869407213</v>
      </c>
      <c r="N70" s="675">
        <f>N57*$C$21/100*SISENDID!P248/(1-$C$18)</f>
        <v>32054.377700208865</v>
      </c>
      <c r="O70" s="675">
        <f>O57*$C$21/100*SISENDID!Q248/(1-$C$18)</f>
        <v>38015.83330085114</v>
      </c>
      <c r="P70" s="675">
        <f>P57*$C$21/100*SISENDID!R248/(1-$C$18)</f>
        <v>44499.997882246462</v>
      </c>
      <c r="Q70" s="675">
        <f>Q57*$C$21/100*SISENDID!S248/(1-$C$18)</f>
        <v>50958.073741982989</v>
      </c>
      <c r="R70" s="675">
        <f>R57*$C$21/100*SISENDID!T248/(1-$C$18)</f>
        <v>56736.741127910049</v>
      </c>
      <c r="S70" s="675">
        <f>S57*$C$21/100*SISENDID!U248/(1-$C$18)</f>
        <v>60861.861576902818</v>
      </c>
      <c r="T70" s="675">
        <f>T57*$C$21/100*SISENDID!V248/(1-$C$18)</f>
        <v>62367.105831974426</v>
      </c>
      <c r="U70" s="675">
        <f>U57*$C$21/100*SISENDID!W248/(1-$C$18)</f>
        <v>62242.371620310478</v>
      </c>
      <c r="V70" s="675">
        <f>V57*$C$21/100*SISENDID!X248/(1-$C$18)</f>
        <v>62117.886877069854</v>
      </c>
      <c r="W70" s="675">
        <f>W57*$C$21/100*SISENDID!Y248/(1-$C$18)</f>
        <v>61993.651103315722</v>
      </c>
      <c r="X70" s="675">
        <f>X57*$C$21/100*SISENDID!Z248/(1-$C$18)</f>
        <v>61869.663801109084</v>
      </c>
      <c r="Y70" s="675">
        <f>Y57*$C$21/100*SISENDID!AA248/(1-$C$18)</f>
        <v>61745.924473506864</v>
      </c>
      <c r="Z70" s="675">
        <f>Z57*$C$21/100*SISENDID!AB248/(1-$C$18)</f>
        <v>61622.43262455985</v>
      </c>
      <c r="AA70" s="675">
        <f>AA57*$C$21/100*SISENDID!AC248/(1-$C$18)</f>
        <v>61499.187759310727</v>
      </c>
      <c r="AB70" s="675">
        <f>AB57*$C$21/100*SISENDID!AD248/(1-$C$18)</f>
        <v>61376.189383792102</v>
      </c>
      <c r="AC70" s="675">
        <f>AC57*$C$21/100*SISENDID!AE248/(1-$C$18)</f>
        <v>61253.437005024527</v>
      </c>
      <c r="AD70" s="675">
        <f>AD57*$C$21/100*SISENDID!AF248/(1-$C$18)</f>
        <v>61130.930131014473</v>
      </c>
      <c r="AE70" s="675">
        <f>AE57*$C$21/100*SISENDID!AG248/(1-$C$18)</f>
        <v>61008.668270752445</v>
      </c>
      <c r="AF70" s="675">
        <f>AF57*$C$21/100*SISENDID!AH248/(1-$C$18)</f>
        <v>60886.650934210942</v>
      </c>
      <c r="AG70" s="675">
        <f>AG57*$C$21/100*SISENDID!AI248/(1-$C$18)</f>
        <v>60764.877632342512</v>
      </c>
      <c r="AH70" s="675">
        <f>AH57*$C$21/100*SISENDID!AJ248/(1-$C$18)</f>
        <v>60643.347877077824</v>
      </c>
      <c r="AI70" s="675">
        <f>AI57*$C$21/100*SISENDID!AK248/(1-$C$18)</f>
        <v>60522.061181323676</v>
      </c>
      <c r="AJ70" s="675">
        <f>AJ57*$C$21/100*SISENDID!AL248/(1-$C$18)</f>
        <v>60401.017058961028</v>
      </c>
      <c r="AK70" s="675">
        <f>AK57*$C$21/100*SISENDID!AM248/(1-$C$18)</f>
        <v>60280.215024843113</v>
      </c>
      <c r="AL70" s="675">
        <f>AL57*$C$21/100*SISENDID!AN248/(1-$C$18)</f>
        <v>60159.654594793421</v>
      </c>
      <c r="AM70" s="675">
        <f>AM57*$C$21/100*SISENDID!AO248/(1-$C$18)</f>
        <v>60039.33528560384</v>
      </c>
      <c r="AN70" s="675">
        <f>AN57*$C$21/100*SISENDID!AP248/(1-$C$18)</f>
        <v>59919.256615032638</v>
      </c>
      <c r="AO70" s="675">
        <f>AO57*$C$21/100*SISENDID!AQ248/(1-$C$18)</f>
        <v>59799.41810180257</v>
      </c>
      <c r="AP70" s="675">
        <f>AP57*$C$21/100*SISENDID!AR248/(1-$C$18)</f>
        <v>59679.819265598962</v>
      </c>
      <c r="AQ70" s="675">
        <f>AQ57*$C$21/100*SISENDID!AS248/(1-$C$18)</f>
        <v>59560.459627067765</v>
      </c>
      <c r="AR70" s="675">
        <f>AR57*$C$21/100*SISENDID!AT248/(1-$C$18)</f>
        <v>59441.338707813629</v>
      </c>
      <c r="AS70" s="675">
        <f>AS57*$C$21/100*SISENDID!AU248/(1-$C$18)</f>
        <v>59322.456030398011</v>
      </c>
      <c r="AT70" s="675">
        <f>AT57*$C$21/100*SISENDID!AV248/(1-$C$18)</f>
        <v>59203.811118337209</v>
      </c>
      <c r="AU70" s="675">
        <f>AU57*$C$21/100*SISENDID!AW248/(1-$C$18)</f>
        <v>59085.403496100545</v>
      </c>
      <c r="AV70" s="676">
        <f>AV57*$C$21/100*SISENDID!AX248/(1-$C$18)</f>
        <v>58967.232689108343</v>
      </c>
    </row>
    <row r="71" spans="2:48" s="15" customFormat="1" ht="13.5" outlineLevel="1" x14ac:dyDescent="0.25">
      <c r="B71" s="689" t="s">
        <v>1261</v>
      </c>
      <c r="C71" s="693" t="s">
        <v>853</v>
      </c>
      <c r="D71" s="710">
        <f>D$68*SISENDID!F254/1000</f>
        <v>0</v>
      </c>
      <c r="E71" s="710">
        <f>E$68*SISENDID!G254/1000</f>
        <v>201.08371171200002</v>
      </c>
      <c r="F71" s="710">
        <f>F$68*SISENDID!H254/1000</f>
        <v>894.01818227155206</v>
      </c>
      <c r="G71" s="710">
        <f>G$68*SISENDID!I254/1000</f>
        <v>2355.4399042247828</v>
      </c>
      <c r="H71" s="710">
        <f>H$68*SISENDID!J254/1000</f>
        <v>4382.845544454527</v>
      </c>
      <c r="I71" s="710">
        <f>I$68*SISENDID!K254/1000</f>
        <v>6648.6603322062492</v>
      </c>
      <c r="J71" s="710">
        <f>J$68*SISENDID!L254/1000</f>
        <v>9313.7959447957601</v>
      </c>
      <c r="K71" s="710">
        <f>K$68*SISENDID!M254/1000</f>
        <v>12194.560602712912</v>
      </c>
      <c r="L71" s="710">
        <f>L$68*SISENDID!N254/1000</f>
        <v>15004.845722224003</v>
      </c>
      <c r="M71" s="710">
        <f>M$68*SISENDID!O254/1000</f>
        <v>17891.985002569174</v>
      </c>
      <c r="N71" s="710">
        <f>N$68*SISENDID!P254/1000</f>
        <v>21068.433082862026</v>
      </c>
      <c r="O71" s="710">
        <f>O$68*SISENDID!Q254/1000</f>
        <v>24736.360699986599</v>
      </c>
      <c r="P71" s="710">
        <f>P$68*SISENDID!R254/1000</f>
        <v>28665.3787297862</v>
      </c>
      <c r="Q71" s="710">
        <f>Q$68*SISENDID!S254/1000</f>
        <v>32496.53829092981</v>
      </c>
      <c r="R71" s="710">
        <f>R$68*SISENDID!T254/1000</f>
        <v>35819.117970405852</v>
      </c>
      <c r="S71" s="710">
        <f>S$68*SISENDID!U254/1000</f>
        <v>38038.390769032929</v>
      </c>
      <c r="T71" s="710">
        <f>T$68*SISENDID!V254/1000</f>
        <v>38588.588921227863</v>
      </c>
      <c r="U71" s="710">
        <f>U$68*SISENDID!W254/1000</f>
        <v>38125.525854173124</v>
      </c>
      <c r="V71" s="710">
        <f>V$68*SISENDID!X254/1000</f>
        <v>37668.019543923052</v>
      </c>
      <c r="W71" s="710">
        <f>W$68*SISENDID!Y254/1000</f>
        <v>37216.003309395972</v>
      </c>
      <c r="X71" s="710">
        <f>X$68*SISENDID!Z254/1000</f>
        <v>36769.411269683216</v>
      </c>
      <c r="Y71" s="710">
        <f>Y$68*SISENDID!AA254/1000</f>
        <v>36328.178334447017</v>
      </c>
      <c r="Z71" s="710">
        <f>Z$68*SISENDID!AB254/1000</f>
        <v>35892.24019443366</v>
      </c>
      <c r="AA71" s="710">
        <f>AA$68*SISENDID!AC254/1000</f>
        <v>35461.533312100459</v>
      </c>
      <c r="AB71" s="710">
        <f>AB$68*SISENDID!AD254/1000</f>
        <v>35035.994912355243</v>
      </c>
      <c r="AC71" s="710">
        <f>AC$68*SISENDID!AE254/1000</f>
        <v>34615.562973406988</v>
      </c>
      <c r="AD71" s="710">
        <f>AD$68*SISENDID!AF254/1000</f>
        <v>34200.176217726097</v>
      </c>
      <c r="AE71" s="710">
        <f>AE$68*SISENDID!AG254/1000</f>
        <v>33789.774103113385</v>
      </c>
      <c r="AF71" s="710">
        <f>AF$68*SISENDID!AH254/1000</f>
        <v>33384.296813876026</v>
      </c>
      <c r="AG71" s="710">
        <f>AG$68*SISENDID!AI254/1000</f>
        <v>32983.685252109513</v>
      </c>
      <c r="AH71" s="710">
        <f>AH$68*SISENDID!AJ254/1000</f>
        <v>32587.881029084198</v>
      </c>
      <c r="AI71" s="710">
        <f>AI$68*SISENDID!AK254/1000</f>
        <v>32196.826456735187</v>
      </c>
      <c r="AJ71" s="710">
        <f>AJ$68*SISENDID!AL254/1000</f>
        <v>31810.464539254364</v>
      </c>
      <c r="AK71" s="710">
        <f>AK$68*SISENDID!AM254/1000</f>
        <v>31428.738964783312</v>
      </c>
      <c r="AL71" s="710">
        <f>AL$68*SISENDID!AN254/1000</f>
        <v>31051.594097205911</v>
      </c>
      <c r="AM71" s="710">
        <f>AM$68*SISENDID!AO254/1000</f>
        <v>30678.974968039438</v>
      </c>
      <c r="AN71" s="710">
        <f>AN$68*SISENDID!AP254/1000</f>
        <v>30310.827268422963</v>
      </c>
      <c r="AO71" s="710">
        <f>AO$68*SISENDID!AQ254/1000</f>
        <v>29947.097341201887</v>
      </c>
      <c r="AP71" s="710">
        <f>AP$68*SISENDID!AR254/1000</f>
        <v>29587.732173107463</v>
      </c>
      <c r="AQ71" s="710">
        <f>AQ$68*SISENDID!AS254/1000</f>
        <v>29232.679387030174</v>
      </c>
      <c r="AR71" s="710">
        <f>AR$68*SISENDID!AT254/1000</f>
        <v>28881.887234385809</v>
      </c>
      <c r="AS71" s="710">
        <f>AS$68*SISENDID!AU254/1000</f>
        <v>28535.30458757318</v>
      </c>
      <c r="AT71" s="710">
        <f>AT$68*SISENDID!AV254/1000</f>
        <v>28192.880932522301</v>
      </c>
      <c r="AU71" s="710">
        <f>AU$68*SISENDID!AW254/1000</f>
        <v>27854.566361332032</v>
      </c>
      <c r="AV71" s="426">
        <f>AV$68*SISENDID!AX254/1000</f>
        <v>27520.311564996049</v>
      </c>
    </row>
    <row r="72" spans="2:48" s="15" customFormat="1" ht="18.75" customHeight="1" x14ac:dyDescent="0.25"/>
    <row r="73" spans="2:48" s="15" customFormat="1" ht="13.5" x14ac:dyDescent="0.25"/>
    <row r="74" spans="2:48" s="15" customFormat="1" x14ac:dyDescent="0.25">
      <c r="C74" s="125"/>
      <c r="D74"/>
      <c r="F74" s="264"/>
      <c r="G74" s="264"/>
      <c r="H74" s="264"/>
      <c r="I74" s="264"/>
    </row>
    <row r="75" spans="2:48" x14ac:dyDescent="0.25">
      <c r="C75" s="294"/>
      <c r="D75" s="127"/>
    </row>
    <row r="76" spans="2:48" x14ac:dyDescent="0.25">
      <c r="C76" s="294"/>
      <c r="D76" s="128"/>
    </row>
    <row r="77" spans="2:48" x14ac:dyDescent="0.25">
      <c r="C77" s="294"/>
      <c r="D77" s="128"/>
    </row>
    <row r="78" spans="2:48" x14ac:dyDescent="0.25">
      <c r="C78" s="129"/>
      <c r="D78" s="128"/>
    </row>
    <row r="79" spans="2:48" x14ac:dyDescent="0.25">
      <c r="D79" s="128"/>
    </row>
    <row r="80" spans="2:48" x14ac:dyDescent="0.25">
      <c r="D80" s="128"/>
    </row>
    <row r="81" spans="4:4" x14ac:dyDescent="0.25">
      <c r="D81" s="127"/>
    </row>
    <row r="82" spans="4:4" x14ac:dyDescent="0.25">
      <c r="D82" s="127"/>
    </row>
    <row r="83" spans="4:4" x14ac:dyDescent="0.25">
      <c r="D83" s="127"/>
    </row>
    <row r="84" spans="4:4" x14ac:dyDescent="0.25">
      <c r="D84" s="127"/>
    </row>
    <row r="85" spans="4:4" x14ac:dyDescent="0.25">
      <c r="D85" s="131"/>
    </row>
    <row r="86" spans="4:4" x14ac:dyDescent="0.25">
      <c r="D86" s="131"/>
    </row>
  </sheetData>
  <sheetProtection algorithmName="SHA-512" hashValue="bupWzBoxsDzf7k/ArR2l9lmY8wCpp5HE94TDcTy9XtShfpzozVRTvqcPnAJBCwno282/pRgmDgilFalN0Lj9ng==" saltValue="+71GUql0kmWqDGPR/pd7yQ==" spinCount="100000" sheet="1" objects="1" scenarios="1" selectLockedCells="1"/>
  <mergeCells count="2">
    <mergeCell ref="B3:C3"/>
    <mergeCell ref="D3:L3"/>
  </mergeCells>
  <conditionalFormatting sqref="C48:C50">
    <cfRule type="containsText" dxfId="14" priority="1" operator="containsText" text="Kõrge">
      <formula>NOT(ISERROR(SEARCH("Kõrge",C48)))</formula>
    </cfRule>
    <cfRule type="containsText" dxfId="13" priority="2" operator="containsText" text="Mõõdukas">
      <formula>NOT(ISERROR(SEARCH("Mõõdukas",C48)))</formula>
    </cfRule>
    <cfRule type="containsText" dxfId="12" priority="3" operator="containsText" text="Madal">
      <formula>NOT(ISERROR(SEARCH("Madal",C48)))</formula>
    </cfRule>
  </conditionalFormatting>
  <dataValidations count="3">
    <dataValidation type="list" allowBlank="1" showInputMessage="1" showErrorMessage="1" sqref="C50" xr:uid="{3343A4A0-7F51-4303-A746-D0C3BAFCC446}">
      <formula1>I48:I50</formula1>
    </dataValidation>
    <dataValidation type="list" allowBlank="1" showInputMessage="1" showErrorMessage="1" sqref="C49" xr:uid="{4D74A943-D2A6-4774-9D8E-B39D8E642FDA}">
      <formula1>I48:I50</formula1>
    </dataValidation>
    <dataValidation type="list" allowBlank="1" showInputMessage="1" showErrorMessage="1" sqref="C48" xr:uid="{92791F9A-77B3-4263-8EF4-4BB7912D4D7F}">
      <formula1>I48:I50</formula1>
    </dataValidation>
  </dataValidations>
  <hyperlinks>
    <hyperlink ref="B1" location="MEETMED!A1" display="&lt;-MEETMETE NIMEKIRI" xr:uid="{81A89735-4B57-43A7-A52E-5F463A7F4B59}"/>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977C0-C08B-4FE7-9BA4-99E4634F6921}">
  <sheetPr>
    <tabColor theme="3" tint="0.89999084444715716"/>
  </sheetPr>
  <dimension ref="A1:AQ59"/>
  <sheetViews>
    <sheetView showGridLines="0" topLeftCell="A5" zoomScaleNormal="100" workbookViewId="0">
      <selection activeCell="I30" sqref="I30"/>
    </sheetView>
  </sheetViews>
  <sheetFormatPr defaultColWidth="8.85546875" defaultRowHeight="15" outlineLevelRow="2" x14ac:dyDescent="0.25"/>
  <cols>
    <col min="1" max="1" width="2.28515625" customWidth="1"/>
    <col min="2" max="2" width="44" customWidth="1"/>
    <col min="3" max="3" width="14.42578125" customWidth="1"/>
    <col min="4" max="4" width="14.28515625" customWidth="1"/>
    <col min="5" max="5" width="15.140625" bestFit="1" customWidth="1"/>
    <col min="6" max="6" width="11.85546875" customWidth="1"/>
    <col min="7"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25.5" customHeight="1" x14ac:dyDescent="0.25">
      <c r="A3" s="1"/>
      <c r="B3" s="992" t="s">
        <v>1582</v>
      </c>
      <c r="C3" s="992"/>
      <c r="D3" s="992"/>
      <c r="E3" s="992"/>
      <c r="F3" s="992"/>
      <c r="G3" s="59"/>
      <c r="H3" s="59" t="e">
        <f>VLOOKUP(B3,MEETMED!C:G,3,FALSE)</f>
        <v>#N/A</v>
      </c>
      <c r="I3" s="993" t="e">
        <f>"SEKTOR: "&amp;VLOOKUP(B3,MEETMED!C:G,2,FALSE)</f>
        <v>#N/A</v>
      </c>
      <c r="J3" s="993"/>
      <c r="K3" s="993"/>
      <c r="L3" s="993"/>
      <c r="M3" s="61" t="e">
        <f>VLOOKUP(B3,MEETMED!C:G,9,FALSE)</f>
        <v>#N/A</v>
      </c>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46" t="s">
        <v>1073</v>
      </c>
      <c r="C5" s="46"/>
      <c r="D5" s="46"/>
      <c r="E5" s="46"/>
      <c r="F5" s="46"/>
      <c r="G5" s="46"/>
      <c r="H5" s="46"/>
      <c r="I5" s="46"/>
      <c r="J5" s="46"/>
      <c r="K5" s="46"/>
      <c r="L5" s="46"/>
      <c r="M5" s="1"/>
      <c r="N5" s="1"/>
      <c r="P5" s="1"/>
      <c r="Q5" s="1"/>
      <c r="R5" s="1"/>
      <c r="S5" s="1"/>
      <c r="T5" s="1"/>
      <c r="U5" s="1"/>
      <c r="V5" s="1"/>
      <c r="W5" s="1"/>
      <c r="X5" s="1"/>
      <c r="Y5" s="1"/>
      <c r="Z5" s="1"/>
      <c r="AA5" s="1"/>
    </row>
    <row r="6" spans="1:27" s="1" customFormat="1" ht="14.25" customHeight="1" outlineLevel="1" x14ac:dyDescent="0.25">
      <c r="D6" s="2"/>
    </row>
    <row r="7" spans="1:27" s="1" customFormat="1" ht="12.75" customHeight="1" outlineLevel="1" x14ac:dyDescent="0.25">
      <c r="B7" s="4" t="s">
        <v>1181</v>
      </c>
      <c r="C7" s="10" t="s">
        <v>899</v>
      </c>
      <c r="D7" s="4" t="s">
        <v>851</v>
      </c>
      <c r="E7" s="4" t="s">
        <v>3</v>
      </c>
      <c r="H7" s="13" t="s">
        <v>1583</v>
      </c>
    </row>
    <row r="8" spans="1:27" s="1" customFormat="1" ht="12.75" customHeight="1" outlineLevel="1" x14ac:dyDescent="0.25">
      <c r="B8" s="123" t="s">
        <v>1486</v>
      </c>
      <c r="C8" s="123"/>
      <c r="D8" s="123"/>
      <c r="E8" s="123"/>
      <c r="F8" s="123"/>
      <c r="G8" s="123"/>
      <c r="H8" s="123"/>
      <c r="I8" s="123"/>
      <c r="J8" s="123"/>
      <c r="K8" s="123"/>
      <c r="L8" s="123"/>
    </row>
    <row r="9" spans="1:27" s="1" customFormat="1" outlineLevel="1" x14ac:dyDescent="0.25">
      <c r="B9" s="151" t="s">
        <v>1288</v>
      </c>
      <c r="C9" s="37">
        <v>2028</v>
      </c>
      <c r="D9" s="151" t="s">
        <v>863</v>
      </c>
      <c r="E9" s="151"/>
      <c r="F9" s="151"/>
      <c r="G9" s="151"/>
      <c r="H9" s="151"/>
      <c r="I9" s="151"/>
      <c r="J9" s="151"/>
      <c r="K9" s="151"/>
      <c r="L9" s="151"/>
    </row>
    <row r="10" spans="1:27" s="1" customFormat="1" outlineLevel="1" x14ac:dyDescent="0.25">
      <c r="B10" s="151" t="s">
        <v>1289</v>
      </c>
      <c r="C10" s="37">
        <v>2040</v>
      </c>
      <c r="D10" s="151" t="s">
        <v>863</v>
      </c>
      <c r="E10" s="151"/>
      <c r="F10" s="151"/>
      <c r="G10" s="151"/>
      <c r="H10" s="151"/>
      <c r="I10" s="151"/>
      <c r="J10" s="151"/>
      <c r="K10" s="151"/>
      <c r="L10" s="151"/>
    </row>
    <row r="11" spans="1:27" s="1" customFormat="1" outlineLevel="1" x14ac:dyDescent="0.25">
      <c r="B11" s="151" t="s">
        <v>1291</v>
      </c>
      <c r="C11" s="37">
        <v>2028</v>
      </c>
      <c r="D11" s="151" t="s">
        <v>863</v>
      </c>
      <c r="E11" s="151"/>
      <c r="F11" s="151"/>
      <c r="G11" s="151"/>
      <c r="H11" s="151"/>
      <c r="I11" s="151"/>
      <c r="J11" s="151"/>
      <c r="K11" s="151"/>
      <c r="L11" s="151"/>
    </row>
    <row r="12" spans="1:27" s="1" customFormat="1" outlineLevel="1" x14ac:dyDescent="0.25">
      <c r="B12" s="151" t="s">
        <v>1292</v>
      </c>
      <c r="C12" s="37">
        <v>2060</v>
      </c>
      <c r="D12" s="151" t="s">
        <v>863</v>
      </c>
      <c r="E12" s="151"/>
      <c r="F12" s="151"/>
      <c r="G12" s="151"/>
      <c r="H12" s="151"/>
      <c r="I12" s="151"/>
      <c r="J12" s="151"/>
      <c r="K12" s="151"/>
      <c r="L12" s="151"/>
    </row>
    <row r="13" spans="1:27" s="1" customFormat="1" outlineLevel="1" x14ac:dyDescent="0.25">
      <c r="B13" s="151" t="s">
        <v>1584</v>
      </c>
      <c r="C13" s="152">
        <f>C10-C9+1</f>
        <v>13</v>
      </c>
      <c r="D13" s="151" t="s">
        <v>863</v>
      </c>
      <c r="E13" s="151" t="s">
        <v>1585</v>
      </c>
      <c r="F13" s="151"/>
      <c r="G13" s="151"/>
      <c r="H13" s="151"/>
      <c r="I13" s="151"/>
      <c r="J13" s="151"/>
      <c r="K13" s="151"/>
      <c r="L13" s="151"/>
    </row>
    <row r="14" spans="1:27" s="1" customFormat="1" ht="6" customHeight="1" outlineLevel="1" x14ac:dyDescent="0.25"/>
    <row r="15" spans="1:27" s="1" customFormat="1" outlineLevel="1" x14ac:dyDescent="0.25">
      <c r="B15" s="123" t="s">
        <v>1487</v>
      </c>
      <c r="C15" s="123"/>
      <c r="D15" s="123"/>
      <c r="E15" s="123"/>
      <c r="F15" s="123"/>
      <c r="G15" s="123"/>
      <c r="H15" s="123"/>
      <c r="I15" s="123"/>
      <c r="J15" s="123"/>
      <c r="K15" s="123"/>
      <c r="L15" s="123"/>
    </row>
    <row r="16" spans="1:27" s="1" customFormat="1" outlineLevel="1" x14ac:dyDescent="0.25">
      <c r="B16" s="151" t="s">
        <v>1586</v>
      </c>
      <c r="C16" s="35">
        <v>10000</v>
      </c>
      <c r="D16" s="151" t="s">
        <v>659</v>
      </c>
      <c r="E16" s="151" t="s">
        <v>1587</v>
      </c>
      <c r="F16" s="151"/>
      <c r="G16" s="151"/>
      <c r="H16" s="151" t="s">
        <v>1588</v>
      </c>
      <c r="I16" s="151"/>
      <c r="J16" s="151"/>
      <c r="K16" s="151"/>
      <c r="L16" s="151"/>
    </row>
    <row r="17" spans="1:34" s="1" customFormat="1" outlineLevel="1" x14ac:dyDescent="0.25">
      <c r="B17" s="151" t="s">
        <v>880</v>
      </c>
      <c r="C17" s="36">
        <v>0.5</v>
      </c>
      <c r="D17" s="151" t="s">
        <v>1057</v>
      </c>
      <c r="E17" s="151" t="s">
        <v>1587</v>
      </c>
      <c r="F17" s="151"/>
      <c r="G17" s="151"/>
      <c r="H17" s="151"/>
      <c r="I17" s="151"/>
      <c r="J17" s="151"/>
      <c r="K17" s="151"/>
      <c r="L17" s="151"/>
    </row>
    <row r="18" spans="1:34" s="1" customFormat="1" outlineLevel="1" x14ac:dyDescent="0.25">
      <c r="B18" s="151" t="s">
        <v>882</v>
      </c>
      <c r="C18" s="152">
        <f>C16/C13*C17</f>
        <v>384.61538461538464</v>
      </c>
      <c r="D18" s="151" t="s">
        <v>659</v>
      </c>
      <c r="E18" s="151" t="s">
        <v>1585</v>
      </c>
      <c r="F18" s="151"/>
      <c r="G18" s="151"/>
      <c r="H18" s="151" t="s">
        <v>1589</v>
      </c>
      <c r="I18" s="151"/>
      <c r="J18" s="151"/>
      <c r="K18" s="151"/>
      <c r="L18" s="151"/>
    </row>
    <row r="19" spans="1:34" s="1" customFormat="1" outlineLevel="1" x14ac:dyDescent="0.25">
      <c r="B19" s="151" t="s">
        <v>1590</v>
      </c>
      <c r="C19" s="35">
        <v>120</v>
      </c>
      <c r="D19" s="151" t="s">
        <v>887</v>
      </c>
      <c r="E19" s="151" t="s">
        <v>1587</v>
      </c>
      <c r="F19" s="151"/>
      <c r="G19" s="151"/>
      <c r="H19" s="151" t="s">
        <v>1591</v>
      </c>
      <c r="I19" s="151"/>
      <c r="J19" s="151"/>
      <c r="K19" s="151"/>
      <c r="L19" s="151"/>
    </row>
    <row r="20" spans="1:34" s="1" customFormat="1" outlineLevel="1" x14ac:dyDescent="0.25">
      <c r="B20" s="151" t="s">
        <v>1592</v>
      </c>
      <c r="C20" s="37">
        <v>10</v>
      </c>
      <c r="D20" s="151" t="s">
        <v>887</v>
      </c>
      <c r="E20" s="151" t="s">
        <v>1587</v>
      </c>
      <c r="F20" s="151"/>
      <c r="G20" s="151"/>
      <c r="H20" s="151" t="s">
        <v>1593</v>
      </c>
      <c r="I20" s="151"/>
      <c r="J20" s="151"/>
      <c r="K20" s="151"/>
      <c r="L20" s="151"/>
    </row>
    <row r="21" spans="1:34" s="1" customFormat="1" outlineLevel="1" x14ac:dyDescent="0.25">
      <c r="B21" s="151" t="s">
        <v>1594</v>
      </c>
      <c r="C21" s="37">
        <v>10</v>
      </c>
      <c r="D21" s="151" t="s">
        <v>1595</v>
      </c>
      <c r="E21" s="151" t="s">
        <v>1587</v>
      </c>
      <c r="F21" s="151"/>
      <c r="G21" s="151"/>
      <c r="H21" s="151" t="s">
        <v>1593</v>
      </c>
      <c r="I21" s="151"/>
      <c r="J21" s="151"/>
      <c r="K21" s="151"/>
      <c r="L21" s="151"/>
    </row>
    <row r="22" spans="1:34" s="1" customFormat="1" outlineLevel="1" x14ac:dyDescent="0.25">
      <c r="B22" s="151" t="s">
        <v>1596</v>
      </c>
      <c r="C22" s="149">
        <v>0.05</v>
      </c>
      <c r="D22" s="151" t="s">
        <v>639</v>
      </c>
      <c r="E22" s="151" t="s">
        <v>1587</v>
      </c>
      <c r="F22" s="151"/>
      <c r="G22" s="151"/>
      <c r="H22" s="151" t="s">
        <v>1593</v>
      </c>
      <c r="I22" s="151"/>
      <c r="J22" s="151"/>
      <c r="K22" s="151"/>
      <c r="L22" s="151"/>
    </row>
    <row r="23" spans="1:34" s="1" customFormat="1" outlineLevel="1" x14ac:dyDescent="0.25">
      <c r="B23" s="151" t="s">
        <v>1597</v>
      </c>
      <c r="C23" s="37">
        <v>60</v>
      </c>
      <c r="D23" s="151" t="s">
        <v>887</v>
      </c>
      <c r="E23" s="151"/>
      <c r="F23" s="151"/>
      <c r="G23" s="151"/>
      <c r="H23" s="151"/>
      <c r="I23" s="151"/>
      <c r="J23" s="151"/>
      <c r="K23" s="151"/>
      <c r="L23" s="151"/>
    </row>
    <row r="24" spans="1:34" s="1" customFormat="1" outlineLevel="1" x14ac:dyDescent="0.25">
      <c r="B24" s="7" t="s">
        <v>894</v>
      </c>
      <c r="C24" s="37">
        <v>40</v>
      </c>
      <c r="D24" s="7" t="s">
        <v>863</v>
      </c>
      <c r="E24" s="7" t="s">
        <v>1587</v>
      </c>
      <c r="F24" s="7"/>
      <c r="G24" s="7"/>
      <c r="H24" s="7"/>
      <c r="I24" s="7"/>
      <c r="J24" s="7"/>
      <c r="K24" s="7"/>
      <c r="L24" s="7"/>
    </row>
    <row r="25" spans="1:34" s="1" customFormat="1" x14ac:dyDescent="0.25">
      <c r="B25" s="6"/>
      <c r="C25" s="6"/>
      <c r="D25" s="7"/>
      <c r="E25" s="7"/>
    </row>
    <row r="26" spans="1:34" x14ac:dyDescent="0.25">
      <c r="A26" s="1"/>
      <c r="B26" s="46" t="s">
        <v>895</v>
      </c>
      <c r="C26" s="46"/>
      <c r="D26" s="46"/>
      <c r="E26" s="46"/>
      <c r="F26" s="46"/>
      <c r="G26" s="46"/>
      <c r="H26" s="46"/>
      <c r="I26" s="46"/>
      <c r="J26" s="46"/>
      <c r="K26" s="46"/>
      <c r="L26" s="46"/>
      <c r="M26" s="1"/>
      <c r="N26" s="1"/>
      <c r="O26" s="1"/>
      <c r="P26" s="1"/>
      <c r="Q26" s="1"/>
      <c r="R26" s="1"/>
      <c r="S26" s="1"/>
      <c r="T26" s="1"/>
      <c r="U26" s="1"/>
      <c r="V26" s="1"/>
      <c r="W26" s="1"/>
      <c r="X26" s="1"/>
      <c r="Y26" s="1"/>
      <c r="Z26" s="1"/>
      <c r="AA26" s="1"/>
      <c r="AB26" s="1"/>
      <c r="AC26" s="1"/>
      <c r="AD26" s="1"/>
      <c r="AE26" s="1"/>
      <c r="AF26" s="1"/>
      <c r="AG26" s="1"/>
      <c r="AH26" s="1"/>
    </row>
    <row r="27" spans="1:34" s="1" customFormat="1" ht="9.75" customHeight="1" outlineLevel="1" x14ac:dyDescent="0.25"/>
    <row r="28" spans="1:34" s="1" customFormat="1" outlineLevel="1" x14ac:dyDescent="0.25">
      <c r="B28" s="13" t="s">
        <v>1598</v>
      </c>
      <c r="C28" s="2"/>
      <c r="D28" s="2"/>
      <c r="K28" s="34">
        <v>1</v>
      </c>
      <c r="L28" s="34" t="s">
        <v>1506</v>
      </c>
    </row>
    <row r="29" spans="1:34" s="1" customFormat="1" ht="7.5" customHeight="1" outlineLevel="2" thickBot="1" x14ac:dyDescent="0.3">
      <c r="A29" s="2"/>
      <c r="B29" s="150"/>
      <c r="C29" s="50"/>
      <c r="D29" s="12"/>
      <c r="E29" s="12"/>
      <c r="F29" s="12"/>
      <c r="G29" s="12"/>
      <c r="H29" s="12"/>
      <c r="I29" s="12"/>
      <c r="J29" s="12"/>
      <c r="K29" s="12">
        <v>2</v>
      </c>
      <c r="L29" s="34" t="s">
        <v>1518</v>
      </c>
    </row>
    <row r="30" spans="1:34" s="1" customFormat="1" ht="16.5" customHeight="1" outlineLevel="2" thickBot="1" x14ac:dyDescent="0.3">
      <c r="A30" s="2">
        <v>1</v>
      </c>
      <c r="B30" s="151" t="s">
        <v>1503</v>
      </c>
      <c r="C30" s="48">
        <v>3</v>
      </c>
      <c r="D30" s="12"/>
      <c r="E30" s="12"/>
      <c r="F30" s="12"/>
      <c r="G30" s="12"/>
      <c r="H30" s="12"/>
      <c r="I30" s="12"/>
      <c r="J30" s="12"/>
      <c r="K30" s="12">
        <v>3</v>
      </c>
      <c r="L30" s="34" t="s">
        <v>1519</v>
      </c>
    </row>
    <row r="31" spans="1:34" s="1" customFormat="1" ht="16.5" customHeight="1" outlineLevel="2" thickBot="1" x14ac:dyDescent="0.3">
      <c r="A31" s="2"/>
      <c r="B31" s="151" t="s">
        <v>1504</v>
      </c>
      <c r="C31" s="48">
        <v>10</v>
      </c>
      <c r="D31" s="12"/>
      <c r="E31" s="12"/>
      <c r="F31" s="12"/>
      <c r="G31" s="12"/>
      <c r="H31" s="12"/>
      <c r="I31" s="12"/>
      <c r="J31" s="12"/>
      <c r="K31" s="12">
        <v>4</v>
      </c>
    </row>
    <row r="32" spans="1:34" s="1" customFormat="1" ht="16.5" customHeight="1" outlineLevel="2" thickBot="1" x14ac:dyDescent="0.3">
      <c r="A32" s="2">
        <v>189</v>
      </c>
      <c r="B32" s="151" t="s">
        <v>1505</v>
      </c>
      <c r="C32" s="47" t="s">
        <v>1506</v>
      </c>
      <c r="D32" s="12"/>
      <c r="E32" s="12"/>
      <c r="F32" s="12"/>
      <c r="G32" s="12"/>
      <c r="H32" s="12"/>
      <c r="I32" s="12"/>
      <c r="J32" s="12"/>
      <c r="K32" s="12">
        <v>5</v>
      </c>
      <c r="L32" s="3"/>
    </row>
    <row r="33" spans="1:43" s="1" customFormat="1" ht="16.5" customHeight="1" outlineLevel="2" thickBot="1" x14ac:dyDescent="0.3">
      <c r="B33" s="151" t="s">
        <v>1599</v>
      </c>
      <c r="C33" s="48" t="s">
        <v>1519</v>
      </c>
      <c r="D33" s="12"/>
      <c r="E33" s="12"/>
      <c r="F33" s="12"/>
      <c r="G33" s="12"/>
      <c r="H33" s="12"/>
      <c r="I33" s="12"/>
      <c r="J33" s="12"/>
      <c r="K33" s="12">
        <v>6</v>
      </c>
      <c r="L33" s="34"/>
    </row>
    <row r="34" spans="1:43" s="1" customFormat="1" outlineLevel="1" x14ac:dyDescent="0.25">
      <c r="A34" s="2"/>
      <c r="B34" s="4"/>
      <c r="C34" s="10"/>
      <c r="D34" s="12"/>
      <c r="E34" s="12"/>
      <c r="F34" s="12"/>
      <c r="G34" s="12"/>
      <c r="H34" s="12"/>
      <c r="I34" s="12"/>
      <c r="J34" s="12"/>
      <c r="K34" s="34">
        <v>7</v>
      </c>
      <c r="L34" s="34"/>
    </row>
    <row r="35" spans="1:43" s="1" customFormat="1" outlineLevel="1" x14ac:dyDescent="0.25">
      <c r="B35" s="13" t="s">
        <v>896</v>
      </c>
      <c r="D35" s="43"/>
      <c r="E35" s="7"/>
    </row>
    <row r="36" spans="1:43" s="1" customFormat="1" outlineLevel="2" x14ac:dyDescent="0.25">
      <c r="B36" s="151" t="s">
        <v>1600</v>
      </c>
      <c r="C36" s="153" t="e">
        <f>-#REF!/C$13</f>
        <v>#REF!</v>
      </c>
      <c r="D36" s="43"/>
      <c r="E36" s="7"/>
    </row>
    <row r="37" spans="1:43" s="1" customFormat="1" outlineLevel="2" x14ac:dyDescent="0.25">
      <c r="B37" s="151" t="s">
        <v>1601</v>
      </c>
      <c r="C37" s="154" t="e">
        <f>-#REF!/#REF!</f>
        <v>#REF!</v>
      </c>
    </row>
    <row r="38" spans="1:43" s="1" customFormat="1" outlineLevel="2" x14ac:dyDescent="0.25">
      <c r="B38" s="155" t="s">
        <v>1602</v>
      </c>
      <c r="C38" s="153" t="e">
        <f>#REF!/30</f>
        <v>#REF!</v>
      </c>
      <c r="D38" s="43"/>
      <c r="E38" s="7"/>
    </row>
    <row r="39" spans="1:43" s="1" customFormat="1" ht="15" customHeight="1" outlineLevel="2" x14ac:dyDescent="0.25">
      <c r="B39" s="151" t="s">
        <v>1603</v>
      </c>
      <c r="C39" s="153">
        <f>SUM(D$51:AG$51)</f>
        <v>373.84615384615387</v>
      </c>
      <c r="E39" s="7"/>
    </row>
    <row r="40" spans="1:43" s="1" customFormat="1" outlineLevel="1" x14ac:dyDescent="0.25">
      <c r="B40" s="44"/>
      <c r="C40" s="45"/>
      <c r="D40" s="43"/>
      <c r="E40" s="7"/>
    </row>
    <row r="41" spans="1:43" s="1" customFormat="1" x14ac:dyDescent="0.25">
      <c r="B41" s="8"/>
      <c r="C41" s="9"/>
    </row>
    <row r="42" spans="1:43" x14ac:dyDescent="0.25">
      <c r="A42" s="1"/>
      <c r="B42" s="46" t="s">
        <v>913</v>
      </c>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row>
    <row r="43" spans="1:43" s="15" customFormat="1" ht="7.5" customHeight="1" outlineLevel="1" x14ac:dyDescent="0.25"/>
    <row r="44" spans="1:43" s="15" customFormat="1" ht="13.5" outlineLevel="1" x14ac:dyDescent="0.25">
      <c r="B44" s="39" t="s">
        <v>914</v>
      </c>
      <c r="C44" s="39">
        <f>C11</f>
        <v>2028</v>
      </c>
      <c r="D44" s="39">
        <f>C44+1</f>
        <v>2029</v>
      </c>
      <c r="E44" s="39">
        <f t="shared" ref="E44:AI44" si="0">D44+1</f>
        <v>2030</v>
      </c>
      <c r="F44" s="39">
        <f t="shared" si="0"/>
        <v>2031</v>
      </c>
      <c r="G44" s="39">
        <f t="shared" si="0"/>
        <v>2032</v>
      </c>
      <c r="H44" s="39">
        <f t="shared" si="0"/>
        <v>2033</v>
      </c>
      <c r="I44" s="39">
        <f t="shared" si="0"/>
        <v>2034</v>
      </c>
      <c r="J44" s="39">
        <f t="shared" si="0"/>
        <v>2035</v>
      </c>
      <c r="K44" s="39">
        <f t="shared" si="0"/>
        <v>2036</v>
      </c>
      <c r="L44" s="39">
        <f t="shared" si="0"/>
        <v>2037</v>
      </c>
      <c r="M44" s="39">
        <f t="shared" si="0"/>
        <v>2038</v>
      </c>
      <c r="N44" s="39">
        <f t="shared" si="0"/>
        <v>2039</v>
      </c>
      <c r="O44" s="39">
        <f t="shared" si="0"/>
        <v>2040</v>
      </c>
      <c r="P44" s="39">
        <f t="shared" si="0"/>
        <v>2041</v>
      </c>
      <c r="Q44" s="39">
        <f t="shared" si="0"/>
        <v>2042</v>
      </c>
      <c r="R44" s="39">
        <f t="shared" si="0"/>
        <v>2043</v>
      </c>
      <c r="S44" s="39">
        <f t="shared" si="0"/>
        <v>2044</v>
      </c>
      <c r="T44" s="39">
        <f t="shared" si="0"/>
        <v>2045</v>
      </c>
      <c r="U44" s="39">
        <f t="shared" si="0"/>
        <v>2046</v>
      </c>
      <c r="V44" s="39">
        <f t="shared" si="0"/>
        <v>2047</v>
      </c>
      <c r="W44" s="39">
        <f t="shared" si="0"/>
        <v>2048</v>
      </c>
      <c r="X44" s="39">
        <f t="shared" si="0"/>
        <v>2049</v>
      </c>
      <c r="Y44" s="39">
        <f t="shared" si="0"/>
        <v>2050</v>
      </c>
      <c r="Z44" s="39">
        <f t="shared" si="0"/>
        <v>2051</v>
      </c>
      <c r="AA44" s="39">
        <f t="shared" si="0"/>
        <v>2052</v>
      </c>
      <c r="AB44" s="39">
        <f t="shared" si="0"/>
        <v>2053</v>
      </c>
      <c r="AC44" s="39">
        <f t="shared" si="0"/>
        <v>2054</v>
      </c>
      <c r="AD44" s="39">
        <f t="shared" si="0"/>
        <v>2055</v>
      </c>
      <c r="AE44" s="39">
        <f t="shared" si="0"/>
        <v>2056</v>
      </c>
      <c r="AF44" s="39">
        <f t="shared" si="0"/>
        <v>2057</v>
      </c>
      <c r="AG44" s="39">
        <f t="shared" si="0"/>
        <v>2058</v>
      </c>
      <c r="AH44" s="39">
        <f t="shared" si="0"/>
        <v>2059</v>
      </c>
      <c r="AI44" s="39">
        <f t="shared" si="0"/>
        <v>2060</v>
      </c>
      <c r="AJ44" s="39"/>
      <c r="AK44" s="39"/>
      <c r="AL44" s="39"/>
      <c r="AM44" s="39"/>
      <c r="AN44" s="39"/>
      <c r="AO44" s="39"/>
      <c r="AP44" s="39"/>
      <c r="AQ44" s="39"/>
    </row>
    <row r="45" spans="1:43" s="15" customFormat="1" ht="13.5" outlineLevel="1" x14ac:dyDescent="0.25">
      <c r="B45" s="62" t="s">
        <v>1604</v>
      </c>
      <c r="C45" s="40">
        <f t="shared" ref="C45:AI45" si="1">IF(OR(C44&lt;$C$9,C44&gt;$C$10),0,$C$18)</f>
        <v>384.61538461538464</v>
      </c>
      <c r="D45" s="40">
        <f t="shared" si="1"/>
        <v>384.61538461538464</v>
      </c>
      <c r="E45" s="40">
        <f t="shared" si="1"/>
        <v>384.61538461538464</v>
      </c>
      <c r="F45" s="40">
        <f t="shared" si="1"/>
        <v>384.61538461538464</v>
      </c>
      <c r="G45" s="40">
        <f t="shared" si="1"/>
        <v>384.61538461538464</v>
      </c>
      <c r="H45" s="40">
        <f t="shared" si="1"/>
        <v>384.61538461538464</v>
      </c>
      <c r="I45" s="40">
        <f t="shared" si="1"/>
        <v>384.61538461538464</v>
      </c>
      <c r="J45" s="40">
        <f t="shared" si="1"/>
        <v>384.61538461538464</v>
      </c>
      <c r="K45" s="40">
        <f t="shared" si="1"/>
        <v>384.61538461538464</v>
      </c>
      <c r="L45" s="40">
        <f t="shared" si="1"/>
        <v>384.61538461538464</v>
      </c>
      <c r="M45" s="40">
        <f t="shared" si="1"/>
        <v>384.61538461538464</v>
      </c>
      <c r="N45" s="40">
        <f t="shared" si="1"/>
        <v>384.61538461538464</v>
      </c>
      <c r="O45" s="40">
        <f t="shared" si="1"/>
        <v>384.61538461538464</v>
      </c>
      <c r="P45" s="40">
        <f t="shared" si="1"/>
        <v>0</v>
      </c>
      <c r="Q45" s="40">
        <f t="shared" si="1"/>
        <v>0</v>
      </c>
      <c r="R45" s="40">
        <f t="shared" si="1"/>
        <v>0</v>
      </c>
      <c r="S45" s="40">
        <f t="shared" si="1"/>
        <v>0</v>
      </c>
      <c r="T45" s="40">
        <f t="shared" si="1"/>
        <v>0</v>
      </c>
      <c r="U45" s="40">
        <f t="shared" si="1"/>
        <v>0</v>
      </c>
      <c r="V45" s="40">
        <f t="shared" si="1"/>
        <v>0</v>
      </c>
      <c r="W45" s="40">
        <f t="shared" si="1"/>
        <v>0</v>
      </c>
      <c r="X45" s="40">
        <f t="shared" si="1"/>
        <v>0</v>
      </c>
      <c r="Y45" s="40">
        <f t="shared" si="1"/>
        <v>0</v>
      </c>
      <c r="Z45" s="40">
        <f t="shared" si="1"/>
        <v>0</v>
      </c>
      <c r="AA45" s="40">
        <f t="shared" si="1"/>
        <v>0</v>
      </c>
      <c r="AB45" s="40">
        <f t="shared" si="1"/>
        <v>0</v>
      </c>
      <c r="AC45" s="40">
        <f t="shared" si="1"/>
        <v>0</v>
      </c>
      <c r="AD45" s="40">
        <f t="shared" si="1"/>
        <v>0</v>
      </c>
      <c r="AE45" s="40">
        <f t="shared" si="1"/>
        <v>0</v>
      </c>
      <c r="AF45" s="40">
        <f t="shared" si="1"/>
        <v>0</v>
      </c>
      <c r="AG45" s="40">
        <f t="shared" si="1"/>
        <v>0</v>
      </c>
      <c r="AH45" s="40">
        <f t="shared" si="1"/>
        <v>0</v>
      </c>
      <c r="AI45" s="40">
        <f t="shared" si="1"/>
        <v>0</v>
      </c>
      <c r="AJ45" s="40"/>
      <c r="AK45" s="40"/>
      <c r="AL45" s="40"/>
      <c r="AM45" s="40"/>
      <c r="AN45" s="40"/>
      <c r="AO45" s="40"/>
      <c r="AP45" s="40"/>
      <c r="AQ45" s="40"/>
    </row>
    <row r="46" spans="1:43" s="15" customFormat="1" ht="13.5" outlineLevel="1" x14ac:dyDescent="0.25">
      <c r="B46" s="62" t="s">
        <v>1605</v>
      </c>
      <c r="C46" s="40">
        <f>C45</f>
        <v>384.61538461538464</v>
      </c>
      <c r="D46" s="40">
        <f t="shared" ref="D46:AI46" si="2">C46+D45-IF(ISERROR(HLOOKUP(D44-$C$24,$C$44:$AG$45,2,FALSE)),0,HLOOKUP(D44-$C$24,$C$44:$AG$45,2,FALSE))</f>
        <v>769.23076923076928</v>
      </c>
      <c r="E46" s="40">
        <f t="shared" si="2"/>
        <v>1153.8461538461538</v>
      </c>
      <c r="F46" s="40">
        <f t="shared" si="2"/>
        <v>1538.4615384615386</v>
      </c>
      <c r="G46" s="40">
        <f t="shared" si="2"/>
        <v>1923.0769230769233</v>
      </c>
      <c r="H46" s="40">
        <f t="shared" si="2"/>
        <v>2307.6923076923081</v>
      </c>
      <c r="I46" s="40">
        <f t="shared" si="2"/>
        <v>2692.3076923076928</v>
      </c>
      <c r="J46" s="40">
        <f t="shared" si="2"/>
        <v>3076.9230769230776</v>
      </c>
      <c r="K46" s="40">
        <f t="shared" si="2"/>
        <v>3461.5384615384623</v>
      </c>
      <c r="L46" s="40">
        <f t="shared" si="2"/>
        <v>3846.1538461538471</v>
      </c>
      <c r="M46" s="40">
        <f t="shared" si="2"/>
        <v>4230.7692307692314</v>
      </c>
      <c r="N46" s="40">
        <f t="shared" si="2"/>
        <v>4615.3846153846162</v>
      </c>
      <c r="O46" s="40">
        <f t="shared" si="2"/>
        <v>5000.0000000000009</v>
      </c>
      <c r="P46" s="40">
        <f t="shared" si="2"/>
        <v>5000.0000000000009</v>
      </c>
      <c r="Q46" s="40">
        <f t="shared" si="2"/>
        <v>5000.0000000000009</v>
      </c>
      <c r="R46" s="40">
        <f t="shared" si="2"/>
        <v>5000.0000000000009</v>
      </c>
      <c r="S46" s="40">
        <f t="shared" si="2"/>
        <v>5000.0000000000009</v>
      </c>
      <c r="T46" s="40">
        <f t="shared" si="2"/>
        <v>5000.0000000000009</v>
      </c>
      <c r="U46" s="40">
        <f t="shared" si="2"/>
        <v>5000.0000000000009</v>
      </c>
      <c r="V46" s="40">
        <f t="shared" si="2"/>
        <v>5000.0000000000009</v>
      </c>
      <c r="W46" s="40">
        <f t="shared" si="2"/>
        <v>5000.0000000000009</v>
      </c>
      <c r="X46" s="40">
        <f t="shared" si="2"/>
        <v>5000.0000000000009</v>
      </c>
      <c r="Y46" s="40">
        <f t="shared" si="2"/>
        <v>5000.0000000000009</v>
      </c>
      <c r="Z46" s="40">
        <f t="shared" si="2"/>
        <v>5000.0000000000009</v>
      </c>
      <c r="AA46" s="40">
        <f t="shared" si="2"/>
        <v>5000.0000000000009</v>
      </c>
      <c r="AB46" s="40">
        <f t="shared" si="2"/>
        <v>5000.0000000000009</v>
      </c>
      <c r="AC46" s="40">
        <f t="shared" si="2"/>
        <v>5000.0000000000009</v>
      </c>
      <c r="AD46" s="40">
        <f t="shared" si="2"/>
        <v>5000.0000000000009</v>
      </c>
      <c r="AE46" s="40">
        <f t="shared" si="2"/>
        <v>5000.0000000000009</v>
      </c>
      <c r="AF46" s="40">
        <f t="shared" si="2"/>
        <v>5000.0000000000009</v>
      </c>
      <c r="AG46" s="40">
        <f t="shared" si="2"/>
        <v>5000.0000000000009</v>
      </c>
      <c r="AH46" s="40">
        <f t="shared" si="2"/>
        <v>5000.0000000000009</v>
      </c>
      <c r="AI46" s="40">
        <f t="shared" si="2"/>
        <v>5000.0000000000009</v>
      </c>
      <c r="AJ46" s="40"/>
      <c r="AK46" s="40"/>
      <c r="AL46" s="40"/>
      <c r="AM46" s="40"/>
      <c r="AN46" s="40"/>
      <c r="AO46" s="40"/>
      <c r="AP46" s="40"/>
      <c r="AQ46" s="40"/>
    </row>
    <row r="47" spans="1:43" s="15" customFormat="1" ht="13.5" outlineLevel="1" x14ac:dyDescent="0.25">
      <c r="B47" s="62"/>
    </row>
    <row r="48" spans="1:43" s="15" customFormat="1" ht="13.5" outlineLevel="1" x14ac:dyDescent="0.25">
      <c r="B48" s="62" t="s">
        <v>917</v>
      </c>
      <c r="C48" s="40">
        <f t="shared" ref="C48:AI48" si="3">-C45*$C$19/1000</f>
        <v>-46.153846153846153</v>
      </c>
      <c r="D48" s="40">
        <f t="shared" si="3"/>
        <v>-46.153846153846153</v>
      </c>
      <c r="E48" s="40">
        <f t="shared" si="3"/>
        <v>-46.153846153846153</v>
      </c>
      <c r="F48" s="40">
        <f t="shared" si="3"/>
        <v>-46.153846153846153</v>
      </c>
      <c r="G48" s="40">
        <f t="shared" si="3"/>
        <v>-46.153846153846153</v>
      </c>
      <c r="H48" s="40">
        <f t="shared" si="3"/>
        <v>-46.153846153846153</v>
      </c>
      <c r="I48" s="40">
        <f t="shared" si="3"/>
        <v>-46.153846153846153</v>
      </c>
      <c r="J48" s="40">
        <f t="shared" si="3"/>
        <v>-46.153846153846153</v>
      </c>
      <c r="K48" s="40">
        <f t="shared" si="3"/>
        <v>-46.153846153846153</v>
      </c>
      <c r="L48" s="40">
        <f t="shared" si="3"/>
        <v>-46.153846153846153</v>
      </c>
      <c r="M48" s="40">
        <f t="shared" si="3"/>
        <v>-46.153846153846153</v>
      </c>
      <c r="N48" s="40">
        <f t="shared" si="3"/>
        <v>-46.153846153846153</v>
      </c>
      <c r="O48" s="40">
        <f t="shared" si="3"/>
        <v>-46.153846153846153</v>
      </c>
      <c r="P48" s="40">
        <f t="shared" si="3"/>
        <v>0</v>
      </c>
      <c r="Q48" s="40">
        <f t="shared" si="3"/>
        <v>0</v>
      </c>
      <c r="R48" s="40">
        <f t="shared" si="3"/>
        <v>0</v>
      </c>
      <c r="S48" s="40">
        <f t="shared" si="3"/>
        <v>0</v>
      </c>
      <c r="T48" s="40">
        <f t="shared" si="3"/>
        <v>0</v>
      </c>
      <c r="U48" s="40">
        <f t="shared" si="3"/>
        <v>0</v>
      </c>
      <c r="V48" s="40">
        <f t="shared" si="3"/>
        <v>0</v>
      </c>
      <c r="W48" s="40">
        <f t="shared" si="3"/>
        <v>0</v>
      </c>
      <c r="X48" s="40">
        <f t="shared" si="3"/>
        <v>0</v>
      </c>
      <c r="Y48" s="40">
        <f t="shared" si="3"/>
        <v>0</v>
      </c>
      <c r="Z48" s="40">
        <f t="shared" si="3"/>
        <v>0</v>
      </c>
      <c r="AA48" s="40">
        <f t="shared" si="3"/>
        <v>0</v>
      </c>
      <c r="AB48" s="40">
        <f t="shared" si="3"/>
        <v>0</v>
      </c>
      <c r="AC48" s="40">
        <f t="shared" si="3"/>
        <v>0</v>
      </c>
      <c r="AD48" s="40">
        <f t="shared" si="3"/>
        <v>0</v>
      </c>
      <c r="AE48" s="40">
        <f t="shared" si="3"/>
        <v>0</v>
      </c>
      <c r="AF48" s="40">
        <f t="shared" si="3"/>
        <v>0</v>
      </c>
      <c r="AG48" s="40">
        <f t="shared" si="3"/>
        <v>0</v>
      </c>
      <c r="AH48" s="40">
        <f t="shared" si="3"/>
        <v>0</v>
      </c>
      <c r="AI48" s="40">
        <f t="shared" si="3"/>
        <v>0</v>
      </c>
      <c r="AJ48" s="40"/>
      <c r="AK48" s="40"/>
      <c r="AL48" s="40"/>
      <c r="AM48" s="40"/>
      <c r="AN48" s="40"/>
      <c r="AO48" s="40"/>
      <c r="AP48" s="40"/>
      <c r="AQ48" s="40"/>
    </row>
    <row r="49" spans="2:43" s="15" customFormat="1" ht="13.5" outlineLevel="1" x14ac:dyDescent="0.25">
      <c r="B49" s="62" t="s">
        <v>1606</v>
      </c>
      <c r="C49" s="40">
        <f>C46*$C$20/1000</f>
        <v>3.8461538461538467</v>
      </c>
      <c r="D49" s="40">
        <f t="shared" ref="D49:AI49" si="4">D46*$C$20/1000</f>
        <v>7.6923076923076934</v>
      </c>
      <c r="E49" s="40">
        <f t="shared" si="4"/>
        <v>11.538461538461538</v>
      </c>
      <c r="F49" s="40">
        <f t="shared" si="4"/>
        <v>15.384615384615387</v>
      </c>
      <c r="G49" s="40">
        <f t="shared" si="4"/>
        <v>19.230769230769234</v>
      </c>
      <c r="H49" s="40">
        <f t="shared" si="4"/>
        <v>23.07692307692308</v>
      </c>
      <c r="I49" s="40">
        <f t="shared" si="4"/>
        <v>26.92307692307693</v>
      </c>
      <c r="J49" s="40">
        <f t="shared" si="4"/>
        <v>30.769230769230777</v>
      </c>
      <c r="K49" s="40">
        <f t="shared" si="4"/>
        <v>34.615384615384627</v>
      </c>
      <c r="L49" s="40">
        <f t="shared" si="4"/>
        <v>38.461538461538467</v>
      </c>
      <c r="M49" s="40">
        <f t="shared" si="4"/>
        <v>42.307692307692314</v>
      </c>
      <c r="N49" s="40">
        <f t="shared" si="4"/>
        <v>46.15384615384616</v>
      </c>
      <c r="O49" s="40">
        <f t="shared" si="4"/>
        <v>50.000000000000007</v>
      </c>
      <c r="P49" s="40">
        <f t="shared" si="4"/>
        <v>50.000000000000007</v>
      </c>
      <c r="Q49" s="40">
        <f t="shared" si="4"/>
        <v>50.000000000000007</v>
      </c>
      <c r="R49" s="40">
        <f t="shared" si="4"/>
        <v>50.000000000000007</v>
      </c>
      <c r="S49" s="40">
        <f t="shared" si="4"/>
        <v>50.000000000000007</v>
      </c>
      <c r="T49" s="40">
        <f t="shared" si="4"/>
        <v>50.000000000000007</v>
      </c>
      <c r="U49" s="40">
        <f t="shared" si="4"/>
        <v>50.000000000000007</v>
      </c>
      <c r="V49" s="40">
        <f t="shared" si="4"/>
        <v>50.000000000000007</v>
      </c>
      <c r="W49" s="40">
        <f t="shared" si="4"/>
        <v>50.000000000000007</v>
      </c>
      <c r="X49" s="40">
        <f t="shared" si="4"/>
        <v>50.000000000000007</v>
      </c>
      <c r="Y49" s="40">
        <f t="shared" si="4"/>
        <v>50.000000000000007</v>
      </c>
      <c r="Z49" s="40">
        <f t="shared" si="4"/>
        <v>50.000000000000007</v>
      </c>
      <c r="AA49" s="40">
        <f t="shared" si="4"/>
        <v>50.000000000000007</v>
      </c>
      <c r="AB49" s="40">
        <f t="shared" si="4"/>
        <v>50.000000000000007</v>
      </c>
      <c r="AC49" s="40">
        <f t="shared" si="4"/>
        <v>50.000000000000007</v>
      </c>
      <c r="AD49" s="40">
        <f t="shared" si="4"/>
        <v>50.000000000000007</v>
      </c>
      <c r="AE49" s="40">
        <f t="shared" si="4"/>
        <v>50.000000000000007</v>
      </c>
      <c r="AF49" s="40">
        <f t="shared" si="4"/>
        <v>50.000000000000007</v>
      </c>
      <c r="AG49" s="40">
        <f t="shared" si="4"/>
        <v>50.000000000000007</v>
      </c>
      <c r="AH49" s="40">
        <f t="shared" si="4"/>
        <v>50.000000000000007</v>
      </c>
      <c r="AI49" s="40">
        <f t="shared" si="4"/>
        <v>50.000000000000007</v>
      </c>
      <c r="AJ49" s="40"/>
      <c r="AK49" s="40"/>
      <c r="AL49" s="40"/>
      <c r="AM49" s="40"/>
      <c r="AN49" s="40"/>
      <c r="AO49" s="40"/>
      <c r="AP49" s="40"/>
      <c r="AQ49" s="40"/>
    </row>
    <row r="50" spans="2:43" s="15" customFormat="1" ht="13.5" outlineLevel="1" x14ac:dyDescent="0.25">
      <c r="B50" s="62" t="s">
        <v>1607</v>
      </c>
      <c r="C50" s="40">
        <f>C46*$C$21/1000</f>
        <v>3.8461538461538467</v>
      </c>
      <c r="D50" s="40">
        <f t="shared" ref="D50:AI50" si="5">D46*$C$21/1000</f>
        <v>7.6923076923076934</v>
      </c>
      <c r="E50" s="40">
        <f t="shared" si="5"/>
        <v>11.538461538461538</v>
      </c>
      <c r="F50" s="40">
        <f t="shared" si="5"/>
        <v>15.384615384615387</v>
      </c>
      <c r="G50" s="40">
        <f t="shared" si="5"/>
        <v>19.230769230769234</v>
      </c>
      <c r="H50" s="40">
        <f t="shared" si="5"/>
        <v>23.07692307692308</v>
      </c>
      <c r="I50" s="40">
        <f t="shared" si="5"/>
        <v>26.92307692307693</v>
      </c>
      <c r="J50" s="40">
        <f t="shared" si="5"/>
        <v>30.769230769230777</v>
      </c>
      <c r="K50" s="40">
        <f t="shared" si="5"/>
        <v>34.615384615384627</v>
      </c>
      <c r="L50" s="40">
        <f t="shared" si="5"/>
        <v>38.461538461538467</v>
      </c>
      <c r="M50" s="40">
        <f t="shared" si="5"/>
        <v>42.307692307692314</v>
      </c>
      <c r="N50" s="40">
        <f t="shared" si="5"/>
        <v>46.15384615384616</v>
      </c>
      <c r="O50" s="40">
        <f t="shared" si="5"/>
        <v>50.000000000000007</v>
      </c>
      <c r="P50" s="40">
        <f t="shared" si="5"/>
        <v>50.000000000000007</v>
      </c>
      <c r="Q50" s="40">
        <f t="shared" si="5"/>
        <v>50.000000000000007</v>
      </c>
      <c r="R50" s="40">
        <f t="shared" si="5"/>
        <v>50.000000000000007</v>
      </c>
      <c r="S50" s="40">
        <f t="shared" si="5"/>
        <v>50.000000000000007</v>
      </c>
      <c r="T50" s="40">
        <f t="shared" si="5"/>
        <v>50.000000000000007</v>
      </c>
      <c r="U50" s="40">
        <f t="shared" si="5"/>
        <v>50.000000000000007</v>
      </c>
      <c r="V50" s="40">
        <f t="shared" si="5"/>
        <v>50.000000000000007</v>
      </c>
      <c r="W50" s="40">
        <f t="shared" si="5"/>
        <v>50.000000000000007</v>
      </c>
      <c r="X50" s="40">
        <f t="shared" si="5"/>
        <v>50.000000000000007</v>
      </c>
      <c r="Y50" s="40">
        <f t="shared" si="5"/>
        <v>50.000000000000007</v>
      </c>
      <c r="Z50" s="40">
        <f t="shared" si="5"/>
        <v>50.000000000000007</v>
      </c>
      <c r="AA50" s="40">
        <f t="shared" si="5"/>
        <v>50.000000000000007</v>
      </c>
      <c r="AB50" s="40">
        <f t="shared" si="5"/>
        <v>50.000000000000007</v>
      </c>
      <c r="AC50" s="40">
        <f t="shared" si="5"/>
        <v>50.000000000000007</v>
      </c>
      <c r="AD50" s="40">
        <f t="shared" si="5"/>
        <v>50.000000000000007</v>
      </c>
      <c r="AE50" s="40">
        <f t="shared" si="5"/>
        <v>50.000000000000007</v>
      </c>
      <c r="AF50" s="40">
        <f t="shared" si="5"/>
        <v>50.000000000000007</v>
      </c>
      <c r="AG50" s="40">
        <f t="shared" si="5"/>
        <v>50.000000000000007</v>
      </c>
      <c r="AH50" s="40">
        <f t="shared" si="5"/>
        <v>50.000000000000007</v>
      </c>
      <c r="AI50" s="40">
        <f t="shared" si="5"/>
        <v>50.000000000000007</v>
      </c>
      <c r="AJ50" s="40"/>
      <c r="AK50" s="40"/>
      <c r="AL50" s="40"/>
      <c r="AM50" s="40"/>
      <c r="AN50" s="40"/>
      <c r="AO50" s="40"/>
      <c r="AP50" s="40"/>
      <c r="AQ50" s="40"/>
    </row>
    <row r="51" spans="2:43" s="15" customFormat="1" ht="13.5" outlineLevel="1" x14ac:dyDescent="0.25">
      <c r="B51" s="62" t="s">
        <v>1608</v>
      </c>
      <c r="C51" s="40">
        <f>C54*$C$23/1000</f>
        <v>1.153846153846154</v>
      </c>
      <c r="D51" s="40">
        <f t="shared" ref="D51:AI51" si="6">D54*$C$23/1000</f>
        <v>2.3076923076923079</v>
      </c>
      <c r="E51" s="40">
        <f t="shared" si="6"/>
        <v>3.4615384615384612</v>
      </c>
      <c r="F51" s="40">
        <f t="shared" si="6"/>
        <v>4.6153846153846159</v>
      </c>
      <c r="G51" s="40">
        <f t="shared" si="6"/>
        <v>5.7692307692307701</v>
      </c>
      <c r="H51" s="40">
        <f t="shared" si="6"/>
        <v>6.9230769230769251</v>
      </c>
      <c r="I51" s="40">
        <f t="shared" si="6"/>
        <v>8.0769230769230784</v>
      </c>
      <c r="J51" s="40">
        <f t="shared" si="6"/>
        <v>9.2307692307692335</v>
      </c>
      <c r="K51" s="40">
        <f t="shared" si="6"/>
        <v>10.384615384615387</v>
      </c>
      <c r="L51" s="40">
        <f t="shared" si="6"/>
        <v>11.538461538461542</v>
      </c>
      <c r="M51" s="40">
        <f t="shared" si="6"/>
        <v>12.692307692307695</v>
      </c>
      <c r="N51" s="40">
        <f t="shared" si="6"/>
        <v>13.84615384615385</v>
      </c>
      <c r="O51" s="40">
        <f t="shared" si="6"/>
        <v>15.000000000000004</v>
      </c>
      <c r="P51" s="40">
        <f t="shared" si="6"/>
        <v>15.000000000000004</v>
      </c>
      <c r="Q51" s="40">
        <f t="shared" si="6"/>
        <v>15.000000000000004</v>
      </c>
      <c r="R51" s="40">
        <f t="shared" si="6"/>
        <v>15.000000000000004</v>
      </c>
      <c r="S51" s="40">
        <f t="shared" si="6"/>
        <v>15.000000000000004</v>
      </c>
      <c r="T51" s="40">
        <f t="shared" si="6"/>
        <v>15.000000000000004</v>
      </c>
      <c r="U51" s="40">
        <f t="shared" si="6"/>
        <v>15.000000000000004</v>
      </c>
      <c r="V51" s="40">
        <f t="shared" si="6"/>
        <v>15.000000000000004</v>
      </c>
      <c r="W51" s="40">
        <f t="shared" si="6"/>
        <v>15.000000000000004</v>
      </c>
      <c r="X51" s="40">
        <f t="shared" si="6"/>
        <v>15.000000000000004</v>
      </c>
      <c r="Y51" s="40">
        <f t="shared" si="6"/>
        <v>15.000000000000004</v>
      </c>
      <c r="Z51" s="40">
        <f t="shared" si="6"/>
        <v>15.000000000000004</v>
      </c>
      <c r="AA51" s="40">
        <f t="shared" si="6"/>
        <v>15.000000000000004</v>
      </c>
      <c r="AB51" s="40">
        <f t="shared" si="6"/>
        <v>15.000000000000004</v>
      </c>
      <c r="AC51" s="40">
        <f t="shared" si="6"/>
        <v>15.000000000000004</v>
      </c>
      <c r="AD51" s="40">
        <f t="shared" si="6"/>
        <v>15.000000000000004</v>
      </c>
      <c r="AE51" s="40">
        <f t="shared" si="6"/>
        <v>15.000000000000004</v>
      </c>
      <c r="AF51" s="40">
        <f t="shared" si="6"/>
        <v>15.000000000000004</v>
      </c>
      <c r="AG51" s="40">
        <f t="shared" si="6"/>
        <v>15.000000000000004</v>
      </c>
      <c r="AH51" s="40">
        <f t="shared" si="6"/>
        <v>15.000000000000004</v>
      </c>
      <c r="AI51" s="40">
        <f t="shared" si="6"/>
        <v>15.000000000000004</v>
      </c>
      <c r="AJ51" s="40"/>
      <c r="AK51" s="40"/>
      <c r="AL51" s="40"/>
      <c r="AM51" s="40"/>
      <c r="AN51" s="40"/>
      <c r="AO51" s="40"/>
      <c r="AP51" s="40"/>
      <c r="AQ51" s="40"/>
    </row>
    <row r="52" spans="2:43" s="15" customFormat="1" ht="13.5" outlineLevel="1" x14ac:dyDescent="0.25">
      <c r="B52" s="63" t="s">
        <v>1609</v>
      </c>
      <c r="C52" s="41">
        <f>SUM(C48:C51)</f>
        <v>-37.307692307692307</v>
      </c>
      <c r="D52" s="41">
        <f t="shared" ref="D52:AI52" si="7">SUM(D48:D51)</f>
        <v>-28.46153846153846</v>
      </c>
      <c r="E52" s="41">
        <f t="shared" si="7"/>
        <v>-19.615384615384613</v>
      </c>
      <c r="F52" s="41">
        <f t="shared" si="7"/>
        <v>-10.769230769230763</v>
      </c>
      <c r="G52" s="41">
        <f t="shared" si="7"/>
        <v>-1.9230769230769162</v>
      </c>
      <c r="H52" s="41">
        <f t="shared" si="7"/>
        <v>6.9230769230769322</v>
      </c>
      <c r="I52" s="41">
        <f t="shared" si="7"/>
        <v>15.769230769230786</v>
      </c>
      <c r="J52" s="41">
        <f t="shared" si="7"/>
        <v>24.615384615384635</v>
      </c>
      <c r="K52" s="41">
        <f t="shared" si="7"/>
        <v>33.461538461538488</v>
      </c>
      <c r="L52" s="41">
        <f t="shared" si="7"/>
        <v>42.307692307692321</v>
      </c>
      <c r="M52" s="41">
        <f t="shared" si="7"/>
        <v>51.153846153846168</v>
      </c>
      <c r="N52" s="41">
        <f t="shared" si="7"/>
        <v>60.000000000000014</v>
      </c>
      <c r="O52" s="41">
        <f t="shared" si="7"/>
        <v>68.846153846153868</v>
      </c>
      <c r="P52" s="41">
        <f t="shared" si="7"/>
        <v>115.00000000000001</v>
      </c>
      <c r="Q52" s="41">
        <f t="shared" si="7"/>
        <v>115.00000000000001</v>
      </c>
      <c r="R52" s="41">
        <f t="shared" si="7"/>
        <v>115.00000000000001</v>
      </c>
      <c r="S52" s="41">
        <f t="shared" si="7"/>
        <v>115.00000000000001</v>
      </c>
      <c r="T52" s="41">
        <f t="shared" si="7"/>
        <v>115.00000000000001</v>
      </c>
      <c r="U52" s="41">
        <f t="shared" si="7"/>
        <v>115.00000000000001</v>
      </c>
      <c r="V52" s="41">
        <f t="shared" si="7"/>
        <v>115.00000000000001</v>
      </c>
      <c r="W52" s="41">
        <f t="shared" si="7"/>
        <v>115.00000000000001</v>
      </c>
      <c r="X52" s="41">
        <f t="shared" si="7"/>
        <v>115.00000000000001</v>
      </c>
      <c r="Y52" s="41">
        <f t="shared" si="7"/>
        <v>115.00000000000001</v>
      </c>
      <c r="Z52" s="41">
        <f t="shared" si="7"/>
        <v>115.00000000000001</v>
      </c>
      <c r="AA52" s="41">
        <f t="shared" si="7"/>
        <v>115.00000000000001</v>
      </c>
      <c r="AB52" s="41">
        <f t="shared" si="7"/>
        <v>115.00000000000001</v>
      </c>
      <c r="AC52" s="41">
        <f t="shared" si="7"/>
        <v>115.00000000000001</v>
      </c>
      <c r="AD52" s="41">
        <f t="shared" si="7"/>
        <v>115.00000000000001</v>
      </c>
      <c r="AE52" s="41">
        <f t="shared" si="7"/>
        <v>115.00000000000001</v>
      </c>
      <c r="AF52" s="41">
        <f t="shared" si="7"/>
        <v>115.00000000000001</v>
      </c>
      <c r="AG52" s="41">
        <f t="shared" si="7"/>
        <v>115.00000000000001</v>
      </c>
      <c r="AH52" s="41">
        <f t="shared" si="7"/>
        <v>115.00000000000001</v>
      </c>
      <c r="AI52" s="41">
        <f t="shared" si="7"/>
        <v>115.00000000000001</v>
      </c>
      <c r="AJ52" s="41"/>
      <c r="AK52" s="41"/>
      <c r="AL52" s="41"/>
      <c r="AM52" s="41"/>
      <c r="AN52" s="41"/>
      <c r="AO52" s="41"/>
      <c r="AP52" s="41"/>
      <c r="AQ52" s="41"/>
    </row>
    <row r="53" spans="2:43" s="15" customFormat="1" ht="13.5" outlineLevel="1" x14ac:dyDescent="0.25">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row>
    <row r="54" spans="2:43" s="15" customFormat="1" ht="13.5" outlineLevel="1" x14ac:dyDescent="0.25">
      <c r="B54" s="62" t="s">
        <v>1610</v>
      </c>
      <c r="C54" s="40">
        <f t="shared" ref="C54:AI54" si="8">$C$22*C46</f>
        <v>19.230769230769234</v>
      </c>
      <c r="D54" s="40">
        <f t="shared" si="8"/>
        <v>38.461538461538467</v>
      </c>
      <c r="E54" s="40">
        <f t="shared" si="8"/>
        <v>57.692307692307693</v>
      </c>
      <c r="F54" s="40">
        <f t="shared" si="8"/>
        <v>76.923076923076934</v>
      </c>
      <c r="G54" s="40">
        <f t="shared" si="8"/>
        <v>96.153846153846175</v>
      </c>
      <c r="H54" s="40">
        <f t="shared" si="8"/>
        <v>115.38461538461542</v>
      </c>
      <c r="I54" s="40">
        <f t="shared" si="8"/>
        <v>134.61538461538464</v>
      </c>
      <c r="J54" s="40">
        <f t="shared" si="8"/>
        <v>153.8461538461539</v>
      </c>
      <c r="K54" s="40">
        <f t="shared" si="8"/>
        <v>173.07692307692312</v>
      </c>
      <c r="L54" s="40">
        <f t="shared" si="8"/>
        <v>192.30769230769238</v>
      </c>
      <c r="M54" s="40">
        <f t="shared" si="8"/>
        <v>211.53846153846158</v>
      </c>
      <c r="N54" s="40">
        <f t="shared" si="8"/>
        <v>230.76923076923083</v>
      </c>
      <c r="O54" s="40">
        <f t="shared" si="8"/>
        <v>250.00000000000006</v>
      </c>
      <c r="P54" s="40">
        <f t="shared" si="8"/>
        <v>250.00000000000006</v>
      </c>
      <c r="Q54" s="40">
        <f t="shared" si="8"/>
        <v>250.00000000000006</v>
      </c>
      <c r="R54" s="40">
        <f t="shared" si="8"/>
        <v>250.00000000000006</v>
      </c>
      <c r="S54" s="40">
        <f t="shared" si="8"/>
        <v>250.00000000000006</v>
      </c>
      <c r="T54" s="40">
        <f t="shared" si="8"/>
        <v>250.00000000000006</v>
      </c>
      <c r="U54" s="40">
        <f t="shared" si="8"/>
        <v>250.00000000000006</v>
      </c>
      <c r="V54" s="40">
        <f t="shared" si="8"/>
        <v>250.00000000000006</v>
      </c>
      <c r="W54" s="40">
        <f t="shared" si="8"/>
        <v>250.00000000000006</v>
      </c>
      <c r="X54" s="40">
        <f t="shared" si="8"/>
        <v>250.00000000000006</v>
      </c>
      <c r="Y54" s="40">
        <f t="shared" si="8"/>
        <v>250.00000000000006</v>
      </c>
      <c r="Z54" s="40">
        <f t="shared" si="8"/>
        <v>250.00000000000006</v>
      </c>
      <c r="AA54" s="40">
        <f t="shared" si="8"/>
        <v>250.00000000000006</v>
      </c>
      <c r="AB54" s="40">
        <f t="shared" si="8"/>
        <v>250.00000000000006</v>
      </c>
      <c r="AC54" s="40">
        <f t="shared" si="8"/>
        <v>250.00000000000006</v>
      </c>
      <c r="AD54" s="40">
        <f t="shared" si="8"/>
        <v>250.00000000000006</v>
      </c>
      <c r="AE54" s="40">
        <f t="shared" si="8"/>
        <v>250.00000000000006</v>
      </c>
      <c r="AF54" s="40">
        <f t="shared" si="8"/>
        <v>250.00000000000006</v>
      </c>
      <c r="AG54" s="40">
        <f t="shared" si="8"/>
        <v>250.00000000000006</v>
      </c>
      <c r="AH54" s="40">
        <f t="shared" si="8"/>
        <v>250.00000000000006</v>
      </c>
      <c r="AI54" s="40">
        <f t="shared" si="8"/>
        <v>250.00000000000006</v>
      </c>
      <c r="AJ54" s="40"/>
      <c r="AK54" s="40"/>
      <c r="AL54" s="40"/>
      <c r="AM54" s="40"/>
      <c r="AN54" s="40"/>
      <c r="AO54" s="40"/>
      <c r="AP54" s="40"/>
      <c r="AQ54" s="40"/>
    </row>
    <row r="55" spans="2:43" s="15" customFormat="1" ht="13.5" outlineLevel="1" x14ac:dyDescent="0.25">
      <c r="B55" s="62" t="s">
        <v>1611</v>
      </c>
      <c r="C55" s="42">
        <f>HLOOKUP(C$44,SISENDID!$C$71:$AP$73,2,FALSE)-HLOOKUP(C$44,SISENDID!$C$71:$AP$73,3,FALSE)</f>
        <v>0.1212596551724137</v>
      </c>
      <c r="D55" s="42">
        <f>HLOOKUP(D$44,SISENDID!$C$71:$AP$73,2,FALSE)-HLOOKUP(D$44,SISENDID!$C$71:$AP$73,3,FALSE)</f>
        <v>0.12931603448275852</v>
      </c>
      <c r="E55" s="42">
        <f>HLOOKUP(E$44,SISENDID!$C$71:$AP$73,2,FALSE)-HLOOKUP(E$44,SISENDID!$C$71:$AP$73,3,FALSE)</f>
        <v>0.13737241379310333</v>
      </c>
      <c r="F55" s="42">
        <f>HLOOKUP(F$44,SISENDID!$C$71:$AP$73,2,FALSE)-HLOOKUP(F$44,SISENDID!$C$71:$AP$73,3,FALSE)</f>
        <v>0.13050379310344815</v>
      </c>
      <c r="G55" s="42">
        <f>HLOOKUP(G$44,SISENDID!$C$71:$AP$73,2,FALSE)-HLOOKUP(G$44,SISENDID!$C$71:$AP$73,3,FALSE)</f>
        <v>0.12363517241379297</v>
      </c>
      <c r="H55" s="42">
        <f>HLOOKUP(H$44,SISENDID!$C$71:$AP$73,2,FALSE)-HLOOKUP(H$44,SISENDID!$C$71:$AP$73,3,FALSE)</f>
        <v>0.1167665517241378</v>
      </c>
      <c r="I55" s="42">
        <f>HLOOKUP(I$44,SISENDID!$C$71:$AP$73,2,FALSE)-HLOOKUP(I$44,SISENDID!$C$71:$AP$73,3,FALSE)</f>
        <v>0.10989793103448263</v>
      </c>
      <c r="J55" s="42">
        <f>HLOOKUP(J$44,SISENDID!$C$71:$AP$73,2,FALSE)-HLOOKUP(J$44,SISENDID!$C$71:$AP$73,3,FALSE)</f>
        <v>0.10302931034482746</v>
      </c>
      <c r="K55" s="42">
        <f>HLOOKUP(K$44,SISENDID!$C$71:$AP$73,2,FALSE)-HLOOKUP(K$44,SISENDID!$C$71:$AP$73,3,FALSE)</f>
        <v>9.6160689655172285E-2</v>
      </c>
      <c r="L55" s="42">
        <f>HLOOKUP(L$44,SISENDID!$C$71:$AP$73,2,FALSE)-HLOOKUP(L$44,SISENDID!$C$71:$AP$73,3,FALSE)</f>
        <v>8.9292068965517113E-2</v>
      </c>
      <c r="M55" s="42">
        <f>HLOOKUP(M$44,SISENDID!$C$71:$AP$73,2,FALSE)-HLOOKUP(M$44,SISENDID!$C$71:$AP$73,3,FALSE)</f>
        <v>8.2423448275861941E-2</v>
      </c>
      <c r="N55" s="42">
        <f>HLOOKUP(N$44,SISENDID!$C$71:$AP$73,2,FALSE)-HLOOKUP(N$44,SISENDID!$C$71:$AP$73,3,FALSE)</f>
        <v>7.5554827586206769E-2</v>
      </c>
      <c r="O55" s="42">
        <f>HLOOKUP(O$44,SISENDID!$C$71:$AP$73,2,FALSE)-HLOOKUP(O$44,SISENDID!$C$71:$AP$73,3,FALSE)</f>
        <v>6.8686206896551597E-2</v>
      </c>
      <c r="P55" s="42">
        <f>HLOOKUP(P$44,SISENDID!$C$71:$AP$73,2,FALSE)-HLOOKUP(P$44,SISENDID!$C$71:$AP$73,3,FALSE)</f>
        <v>6.1817586206896424E-2</v>
      </c>
      <c r="Q55" s="42">
        <f>HLOOKUP(Q$44,SISENDID!$C$71:$AP$73,2,FALSE)-HLOOKUP(Q$44,SISENDID!$C$71:$AP$73,3,FALSE)</f>
        <v>5.4948965517241252E-2</v>
      </c>
      <c r="R55" s="42">
        <f>HLOOKUP(R$44,SISENDID!$C$71:$AP$73,2,FALSE)-HLOOKUP(R$44,SISENDID!$C$71:$AP$73,3,FALSE)</f>
        <v>4.808034482758608E-2</v>
      </c>
      <c r="S55" s="42">
        <f>HLOOKUP(S$44,SISENDID!$C$71:$AP$73,2,FALSE)-HLOOKUP(S$44,SISENDID!$C$71:$AP$73,3,FALSE)</f>
        <v>4.1211724137930908E-2</v>
      </c>
      <c r="T55" s="42">
        <f>HLOOKUP(T$44,SISENDID!$C$71:$AP$73,2,FALSE)-HLOOKUP(T$44,SISENDID!$C$71:$AP$73,3,FALSE)</f>
        <v>3.4343103448275736E-2</v>
      </c>
      <c r="U55" s="42">
        <f>HLOOKUP(U$44,SISENDID!$C$71:$AP$73,2,FALSE)-HLOOKUP(U$44,SISENDID!$C$71:$AP$73,3,FALSE)</f>
        <v>2.7474482758620564E-2</v>
      </c>
      <c r="V55" s="42">
        <f>HLOOKUP(V$44,SISENDID!$C$71:$AP$73,2,FALSE)-HLOOKUP(V$44,SISENDID!$C$71:$AP$73,3,FALSE)</f>
        <v>2.0605862068965392E-2</v>
      </c>
      <c r="W55" s="42">
        <f>HLOOKUP(W$44,SISENDID!$C$71:$AP$73,2,FALSE)-HLOOKUP(W$44,SISENDID!$C$71:$AP$73,3,FALSE)</f>
        <v>1.3737241379310219E-2</v>
      </c>
      <c r="X55" s="42">
        <f>HLOOKUP(X$44,SISENDID!$C$71:$AP$73,2,FALSE)-HLOOKUP(X$44,SISENDID!$C$71:$AP$73,3,FALSE)</f>
        <v>6.8686206896550464E-3</v>
      </c>
      <c r="Y55" s="42">
        <f>HLOOKUP(Y$44,SISENDID!$C$71:$AP$73,2,FALSE)-HLOOKUP(Y$44,SISENDID!$C$71:$AP$73,3,FALSE)</f>
        <v>0</v>
      </c>
      <c r="Z55" s="42">
        <f>HLOOKUP(Z$44,SISENDID!$C$71:$AP$73,2,FALSE)-HLOOKUP(Z$44,SISENDID!$C$71:$AP$73,3,FALSE)</f>
        <v>0</v>
      </c>
      <c r="AA55" s="42">
        <f>HLOOKUP(AA$44,SISENDID!$C$71:$AP$73,2,FALSE)-HLOOKUP(AA$44,SISENDID!$C$71:$AP$73,3,FALSE)</f>
        <v>0</v>
      </c>
      <c r="AB55" s="42">
        <f>HLOOKUP(AB$44,SISENDID!$C$71:$AP$73,2,FALSE)-HLOOKUP(AB$44,SISENDID!$C$71:$AP$73,3,FALSE)</f>
        <v>0</v>
      </c>
      <c r="AC55" s="42">
        <f>HLOOKUP(AC$44,SISENDID!$C$71:$AP$73,2,FALSE)-HLOOKUP(AC$44,SISENDID!$C$71:$AP$73,3,FALSE)</f>
        <v>0</v>
      </c>
      <c r="AD55" s="42">
        <f>HLOOKUP(AD$44,SISENDID!$C$71:$AP$73,2,FALSE)-HLOOKUP(AD$44,SISENDID!$C$71:$AP$73,3,FALSE)</f>
        <v>0</v>
      </c>
      <c r="AE55" s="42">
        <f>HLOOKUP(AE$44,SISENDID!$C$71:$AP$73,2,FALSE)-HLOOKUP(AE$44,SISENDID!$C$71:$AP$73,3,FALSE)</f>
        <v>0</v>
      </c>
      <c r="AF55" s="42">
        <f>HLOOKUP(AF$44,SISENDID!$C$71:$AP$73,2,FALSE)-HLOOKUP(AF$44,SISENDID!$C$71:$AP$73,3,FALSE)</f>
        <v>0</v>
      </c>
      <c r="AG55" s="42">
        <f>HLOOKUP(AG$44,SISENDID!$C$71:$AP$73,2,FALSE)-HLOOKUP(AG$44,SISENDID!$C$71:$AP$73,3,FALSE)</f>
        <v>0</v>
      </c>
      <c r="AH55" s="42">
        <f>HLOOKUP(AH$44,SISENDID!$C$71:$AP$73,2,FALSE)-HLOOKUP(AH$44,SISENDID!$C$71:$AP$73,3,FALSE)</f>
        <v>0</v>
      </c>
      <c r="AI55" s="42">
        <f>HLOOKUP(AI$44,SISENDID!$C$71:$AP$73,2,FALSE)-HLOOKUP(AI$44,SISENDID!$C$71:$AP$73,3,FALSE)</f>
        <v>0</v>
      </c>
      <c r="AJ55" s="42"/>
      <c r="AK55" s="42"/>
      <c r="AL55" s="42"/>
      <c r="AM55" s="42"/>
      <c r="AN55" s="42"/>
      <c r="AO55" s="42"/>
      <c r="AP55" s="42"/>
      <c r="AQ55" s="42"/>
    </row>
    <row r="56" spans="2:43" s="39" customFormat="1" ht="13.5" outlineLevel="1" x14ac:dyDescent="0.25">
      <c r="B56" s="63" t="s">
        <v>931</v>
      </c>
      <c r="C56" s="148">
        <f>C54*C55</f>
        <v>2.3319164456233406</v>
      </c>
      <c r="D56" s="148">
        <f t="shared" ref="D56:AI56" si="9">D54*D55</f>
        <v>4.9736936339522515</v>
      </c>
      <c r="E56" s="148">
        <f t="shared" si="9"/>
        <v>7.9253315649867311</v>
      </c>
      <c r="F56" s="148">
        <f t="shared" si="9"/>
        <v>10.038753315649858</v>
      </c>
      <c r="G56" s="148">
        <f t="shared" si="9"/>
        <v>11.887997347480097</v>
      </c>
      <c r="H56" s="148">
        <f t="shared" si="9"/>
        <v>13.473063660477441</v>
      </c>
      <c r="I56" s="148">
        <f t="shared" si="9"/>
        <v>14.793952254641896</v>
      </c>
      <c r="J56" s="148">
        <f t="shared" si="9"/>
        <v>15.85066312997346</v>
      </c>
      <c r="K56" s="148">
        <f t="shared" si="9"/>
        <v>16.643196286472129</v>
      </c>
      <c r="L56" s="148">
        <f t="shared" si="9"/>
        <v>17.171551724137913</v>
      </c>
      <c r="M56" s="148">
        <f t="shared" si="9"/>
        <v>17.4357294429708</v>
      </c>
      <c r="N56" s="148">
        <f t="shared" si="9"/>
        <v>17.435729442970796</v>
      </c>
      <c r="O56" s="148">
        <f t="shared" si="9"/>
        <v>17.171551724137903</v>
      </c>
      <c r="P56" s="148">
        <f t="shared" si="9"/>
        <v>15.454396551724109</v>
      </c>
      <c r="Q56" s="148">
        <f t="shared" si="9"/>
        <v>13.737241379310316</v>
      </c>
      <c r="R56" s="148">
        <f t="shared" si="9"/>
        <v>12.020086206896522</v>
      </c>
      <c r="S56" s="148">
        <f t="shared" si="9"/>
        <v>10.302931034482729</v>
      </c>
      <c r="T56" s="148">
        <f t="shared" si="9"/>
        <v>8.5857758620689353</v>
      </c>
      <c r="U56" s="148">
        <f t="shared" si="9"/>
        <v>6.8686206896551427</v>
      </c>
      <c r="V56" s="148">
        <f t="shared" si="9"/>
        <v>5.1514655172413493</v>
      </c>
      <c r="W56" s="148">
        <f t="shared" si="9"/>
        <v>3.4343103448275558</v>
      </c>
      <c r="X56" s="148">
        <f t="shared" si="9"/>
        <v>1.7171551724137619</v>
      </c>
      <c r="Y56" s="148">
        <f t="shared" si="9"/>
        <v>0</v>
      </c>
      <c r="Z56" s="148">
        <f t="shared" si="9"/>
        <v>0</v>
      </c>
      <c r="AA56" s="148">
        <f t="shared" si="9"/>
        <v>0</v>
      </c>
      <c r="AB56" s="148">
        <f t="shared" si="9"/>
        <v>0</v>
      </c>
      <c r="AC56" s="148">
        <f t="shared" si="9"/>
        <v>0</v>
      </c>
      <c r="AD56" s="148">
        <f t="shared" si="9"/>
        <v>0</v>
      </c>
      <c r="AE56" s="148">
        <f t="shared" si="9"/>
        <v>0</v>
      </c>
      <c r="AF56" s="148">
        <f t="shared" si="9"/>
        <v>0</v>
      </c>
      <c r="AG56" s="148">
        <f t="shared" si="9"/>
        <v>0</v>
      </c>
      <c r="AH56" s="148">
        <f t="shared" si="9"/>
        <v>0</v>
      </c>
      <c r="AI56" s="148">
        <f t="shared" si="9"/>
        <v>0</v>
      </c>
      <c r="AJ56" s="41"/>
      <c r="AK56" s="41"/>
      <c r="AL56" s="41"/>
      <c r="AM56" s="41"/>
      <c r="AN56" s="41"/>
      <c r="AO56" s="41"/>
      <c r="AP56" s="41"/>
      <c r="AQ56" s="41"/>
    </row>
    <row r="57" spans="2:43" s="15" customFormat="1" ht="18.75" customHeight="1" x14ac:dyDescent="0.25"/>
    <row r="58" spans="2:43" s="15" customFormat="1" ht="13.5" x14ac:dyDescent="0.25"/>
    <row r="59" spans="2:43" s="15" customFormat="1" ht="13.5" x14ac:dyDescent="0.25"/>
  </sheetData>
  <mergeCells count="2">
    <mergeCell ref="B3:F3"/>
    <mergeCell ref="I3:L3"/>
  </mergeCells>
  <conditionalFormatting sqref="C30:C31">
    <cfRule type="colorScale" priority="1">
      <colorScale>
        <cfvo type="num" val="1"/>
        <cfvo type="num" val="5"/>
        <cfvo type="num" val="10"/>
        <color rgb="FFF8696B"/>
        <color rgb="FFFFEB84"/>
        <color rgb="FF63BE7B"/>
      </colorScale>
    </cfRule>
  </conditionalFormatting>
  <conditionalFormatting sqref="C32:C33">
    <cfRule type="containsText" dxfId="11" priority="2" operator="containsText" text="Uuringud">
      <formula>NOT(ISERROR(SEARCH("Uuringud",C32)))</formula>
    </cfRule>
    <cfRule type="containsText" dxfId="10" priority="3" operator="containsText" text="Eksperdid">
      <formula>NOT(ISERROR(SEARCH("Eksperdid",C32)))</formula>
    </cfRule>
    <cfRule type="containsText" dxfId="9" priority="4" operator="containsText" text="Umbkaudne">
      <formula>NOT(ISERROR(SEARCH("Umbkaudne",C32)))</formula>
    </cfRule>
  </conditionalFormatting>
  <dataValidations disablePrompts="1" count="3">
    <dataValidation type="list" allowBlank="1" showInputMessage="1" showErrorMessage="1" sqref="C32:C33" xr:uid="{4059F30E-3094-4B2A-8480-68F47A5BE78E}">
      <formula1>$L$28:$L$30</formula1>
    </dataValidation>
    <dataValidation type="list" allowBlank="1" showInputMessage="1" showErrorMessage="1" sqref="D30:D31" xr:uid="{276A0685-37DD-472A-A0BF-353479450D3C}">
      <formula1>#REF!</formula1>
    </dataValidation>
    <dataValidation type="list" allowBlank="1" showInputMessage="1" showErrorMessage="1" sqref="C30:C31" xr:uid="{E5EDACBC-E4AC-4569-9EE8-6A840191B551}">
      <formula1>$K$28:$K$34</formula1>
    </dataValidation>
  </dataValidations>
  <hyperlinks>
    <hyperlink ref="B1" location="'Meetmete nimekiri'!A1" display="&lt;-MEETMETE NIMEKIRI" xr:uid="{CD9578EF-203E-4D44-B3C7-6C666B1036A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F8356-56BC-4381-A07F-61455E68A505}">
  <sheetPr>
    <tabColor rgb="FFACB272"/>
  </sheetPr>
  <dimension ref="A1:AV64"/>
  <sheetViews>
    <sheetView showGridLines="0" zoomScaleNormal="100" workbookViewId="0">
      <selection activeCell="C16" sqref="C16"/>
    </sheetView>
  </sheetViews>
  <sheetFormatPr defaultColWidth="8.85546875" defaultRowHeight="15" outlineLevelRow="1" x14ac:dyDescent="0.25"/>
  <cols>
    <col min="1" max="1" width="2.28515625" customWidth="1"/>
    <col min="2" max="2" width="48.140625" customWidth="1"/>
    <col min="3" max="4" width="11.28515625" customWidth="1"/>
    <col min="5" max="5" width="12.140625" customWidth="1"/>
    <col min="6" max="6" width="11.85546875" customWidth="1"/>
    <col min="7" max="8" width="9.7109375" customWidth="1"/>
    <col min="9" max="9" width="12.85546875"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141" customHeight="1" x14ac:dyDescent="0.25">
      <c r="A3" s="260" t="s">
        <v>440</v>
      </c>
      <c r="B3" s="988" t="s">
        <v>1612</v>
      </c>
      <c r="C3" s="988"/>
      <c r="D3" s="988"/>
      <c r="E3" s="988"/>
      <c r="F3" s="988"/>
      <c r="G3" s="990" t="str" cm="1">
        <f t="array" ref="G3">IF(A3="","",_xlfn.LET(
_xlpm.k,TRIM(A3),
_xlpm.codes,IF(ISNUMBER(SEARCH("-",_xlpm.k)),
_xlfn.LET(
_xlpm.startPart,_xlfn.TEXTBEFORE(_xlpm.k,"-"),
_xlpm.endNum,--_xlfn.TEXTAFTER(_xlpm.k,"-"),
_xlpm.p,MIN(IFERROR(FIND({0;1;2;3;4;5;6;7;8;9},_xlpm.startPart),1000000000)),
_xlpm.prefix,LEFT(_xlpm.startPart,_xlpm.p-1),
_xlpm.startNum,--MID(_xlpm.startPart,_xlpm.p,99),
_xlpm.prefix&amp;_xlfn.SEQUENCE(_xlpm.endNum-_xlpm.startNum+1,1,_xlpm.startNum,1)
),
_xlpm.k
),
_xlpm.tegevused,IFERROR(_xlfn._xlws.FILTER(MEETMED!$D:$D,ISNUMBER(MATCH(MEETMED!$B:$B,_xlpm.codes,0))),""),
"TEGEVUS: "&amp;_xlfn.TEXTJOIN(CHAR(10),TRUE,_xlpm.tegevused)
))</f>
        <v>TEGEVUS: Rohealade (pargid, rohealad, muruplatsid, haljastus, rohevõrgustik jne) säilitamine ja juurde tekitamine
Metsa- ja looduslike alade säilitamine/pindala suurendamine
Nõuded haljasaladele (nt murulapi asemel põõsad, puud, mitmekesisus)
Parandab elurikkust; väga-vähesel määral CO2 sidumine; teadlikkuse tõstmine
Rohealade (pargid, rohealad, muruplatsid, haljastus jne) säilitamine ja juurde tekitamine</v>
      </c>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58"/>
      <c r="D5" s="658"/>
      <c r="E5" s="658"/>
      <c r="F5" s="658"/>
      <c r="G5" s="658"/>
      <c r="H5" s="658"/>
      <c r="I5" s="658"/>
      <c r="J5" s="658"/>
      <c r="K5" s="658"/>
      <c r="L5" s="658"/>
      <c r="M5" s="1"/>
      <c r="N5" s="1"/>
      <c r="P5" s="1"/>
      <c r="Q5" s="1"/>
      <c r="R5" s="1"/>
      <c r="S5" s="1"/>
      <c r="T5" s="1"/>
      <c r="U5" s="1"/>
      <c r="V5" s="1"/>
      <c r="W5" s="1"/>
      <c r="X5" s="1"/>
      <c r="Y5" s="1"/>
      <c r="Z5" s="1"/>
      <c r="AA5" s="1"/>
    </row>
    <row r="6" spans="1:27" s="1" customFormat="1" ht="14.25" customHeight="1" outlineLevel="1" x14ac:dyDescent="0.25">
      <c r="D6" s="2"/>
      <c r="I6" s="277" t="s">
        <v>876</v>
      </c>
    </row>
    <row r="7" spans="1:27" s="1" customFormat="1" ht="5.25" customHeight="1" outlineLevel="1" x14ac:dyDescent="0.25">
      <c r="D7" s="2"/>
    </row>
    <row r="8" spans="1:27" s="1" customFormat="1" outlineLevel="1" x14ac:dyDescent="0.25">
      <c r="B8" s="802" t="s">
        <v>862</v>
      </c>
      <c r="C8" s="902">
        <v>2028</v>
      </c>
      <c r="D8" s="7" t="s">
        <v>863</v>
      </c>
      <c r="E8" s="7"/>
      <c r="F8" s="7"/>
      <c r="G8" s="7"/>
      <c r="H8" s="7"/>
      <c r="I8" s="893" t="s">
        <v>1670</v>
      </c>
      <c r="J8" s="305" t="s">
        <v>877</v>
      </c>
      <c r="K8" s="7"/>
      <c r="L8" s="7"/>
    </row>
    <row r="9" spans="1:27" s="1" customFormat="1" outlineLevel="1" x14ac:dyDescent="0.25">
      <c r="B9" s="802" t="s">
        <v>864</v>
      </c>
      <c r="C9" s="902">
        <v>2050</v>
      </c>
      <c r="D9" s="7" t="s">
        <v>863</v>
      </c>
      <c r="E9" s="7"/>
      <c r="F9" s="7"/>
      <c r="G9" s="7"/>
      <c r="H9" s="7"/>
      <c r="I9" s="892" t="s">
        <v>878</v>
      </c>
      <c r="J9" s="305" t="s">
        <v>1669</v>
      </c>
      <c r="K9" s="7"/>
      <c r="L9" s="7"/>
    </row>
    <row r="10" spans="1:27" s="1" customFormat="1" outlineLevel="1" x14ac:dyDescent="0.25">
      <c r="B10" s="859" t="s">
        <v>865</v>
      </c>
      <c r="C10" s="847">
        <f>C9-C8+1</f>
        <v>23</v>
      </c>
      <c r="D10" s="7" t="s">
        <v>863</v>
      </c>
      <c r="E10" s="392"/>
      <c r="F10" s="7"/>
      <c r="G10" s="7"/>
      <c r="H10" s="7"/>
      <c r="I10" s="892" t="s">
        <v>1671</v>
      </c>
      <c r="J10" s="228">
        <v>1234</v>
      </c>
      <c r="K10" s="7"/>
      <c r="L10" s="7"/>
    </row>
    <row r="11" spans="1:27" s="1" customFormat="1" ht="27" outlineLevel="1" x14ac:dyDescent="0.25">
      <c r="B11" s="822"/>
      <c r="C11" s="860" t="s">
        <v>1613</v>
      </c>
      <c r="D11" s="861" t="s">
        <v>1614</v>
      </c>
      <c r="E11" s="862" t="s">
        <v>1615</v>
      </c>
      <c r="F11" s="863" t="s">
        <v>1616</v>
      </c>
    </row>
    <row r="12" spans="1:27" outlineLevel="1" x14ac:dyDescent="0.25">
      <c r="B12" s="817" t="s">
        <v>1617</v>
      </c>
      <c r="C12" s="902">
        <v>200</v>
      </c>
      <c r="D12" s="911">
        <v>0.84</v>
      </c>
      <c r="E12" s="910">
        <v>20000</v>
      </c>
      <c r="F12" s="903">
        <v>500</v>
      </c>
      <c r="G12" s="151"/>
      <c r="H12" s="346" t="s">
        <v>1678</v>
      </c>
      <c r="I12" s="151"/>
      <c r="K12" s="151"/>
    </row>
    <row r="13" spans="1:27" outlineLevel="1" x14ac:dyDescent="0.25">
      <c r="B13" s="817" t="s">
        <v>1619</v>
      </c>
      <c r="C13" s="902">
        <v>10</v>
      </c>
      <c r="D13" s="912">
        <v>0.4</v>
      </c>
      <c r="E13" s="910">
        <v>10000</v>
      </c>
      <c r="F13" s="903">
        <v>1000</v>
      </c>
      <c r="G13" s="151"/>
      <c r="H13" s="151"/>
      <c r="I13" s="151"/>
      <c r="J13" s="346"/>
      <c r="K13" s="151"/>
      <c r="L13" s="151"/>
    </row>
    <row r="14" spans="1:27" outlineLevel="1" x14ac:dyDescent="0.25">
      <c r="B14" s="817" t="s">
        <v>1620</v>
      </c>
      <c r="C14" s="902">
        <v>10</v>
      </c>
      <c r="D14" s="911">
        <v>0.11</v>
      </c>
      <c r="E14" s="910">
        <v>3000</v>
      </c>
      <c r="F14" s="903">
        <v>1000</v>
      </c>
      <c r="G14" s="151"/>
      <c r="H14" s="393" t="s">
        <v>1680</v>
      </c>
      <c r="I14" s="151"/>
      <c r="J14" s="346"/>
      <c r="K14" s="151"/>
      <c r="L14" s="151"/>
    </row>
    <row r="15" spans="1:27" outlineLevel="1" x14ac:dyDescent="0.25">
      <c r="B15" s="817"/>
      <c r="C15" s="502"/>
      <c r="E15" s="151"/>
      <c r="F15" s="151"/>
      <c r="G15" s="151"/>
      <c r="H15" s="393" t="s">
        <v>1679</v>
      </c>
      <c r="I15" s="151"/>
      <c r="J15" s="151"/>
      <c r="K15" s="151"/>
      <c r="L15" s="151"/>
    </row>
    <row r="16" spans="1:27" outlineLevel="1" x14ac:dyDescent="0.25">
      <c r="B16" s="817" t="s">
        <v>1621</v>
      </c>
      <c r="C16" s="913">
        <v>3.6</v>
      </c>
      <c r="D16" s="151"/>
      <c r="E16" s="151"/>
      <c r="F16" s="151"/>
      <c r="G16" s="151"/>
      <c r="H16" s="151"/>
      <c r="I16" s="151"/>
      <c r="J16" s="151"/>
      <c r="K16" s="151"/>
      <c r="L16" s="151"/>
    </row>
    <row r="17" spans="1:34" x14ac:dyDescent="0.25">
      <c r="B17" s="213"/>
      <c r="C17" s="345"/>
      <c r="D17" s="345"/>
      <c r="E17" s="345"/>
      <c r="F17" s="151"/>
      <c r="G17" s="151"/>
      <c r="H17" s="151"/>
      <c r="I17" s="151"/>
      <c r="J17" s="151"/>
      <c r="K17" s="151"/>
      <c r="L17" s="151"/>
    </row>
    <row r="18" spans="1:34" x14ac:dyDescent="0.25">
      <c r="A18" s="1"/>
      <c r="B18" s="659" t="s">
        <v>895</v>
      </c>
      <c r="C18" s="658"/>
      <c r="D18" s="658"/>
      <c r="E18" s="658"/>
      <c r="F18" s="658"/>
      <c r="G18" s="658"/>
      <c r="H18" s="658"/>
      <c r="I18" s="658"/>
      <c r="J18" s="658"/>
      <c r="K18" s="658"/>
      <c r="L18" s="658"/>
      <c r="M18" s="1"/>
      <c r="N18" s="1"/>
      <c r="O18" s="1"/>
      <c r="P18" s="1"/>
      <c r="Q18" s="1"/>
      <c r="R18" s="1"/>
      <c r="S18" s="1"/>
      <c r="T18" s="1"/>
      <c r="U18" s="1"/>
      <c r="V18" s="1"/>
      <c r="W18" s="1"/>
      <c r="X18" s="1"/>
      <c r="Y18" s="1"/>
      <c r="Z18" s="1"/>
      <c r="AA18" s="1"/>
      <c r="AB18" s="1"/>
      <c r="AC18" s="1"/>
      <c r="AD18" s="1"/>
      <c r="AE18" s="1"/>
      <c r="AF18" s="1"/>
      <c r="AG18" s="1"/>
      <c r="AH18" s="1"/>
    </row>
    <row r="19" spans="1:34" s="1" customFormat="1" ht="9.75" customHeight="1" outlineLevel="1" x14ac:dyDescent="0.25"/>
    <row r="20" spans="1:34" s="1" customFormat="1" outlineLevel="1" x14ac:dyDescent="0.25">
      <c r="A20" s="2"/>
      <c r="B20" s="13" t="s">
        <v>896</v>
      </c>
      <c r="D20" s="43"/>
      <c r="E20" s="284" t="s">
        <v>897</v>
      </c>
    </row>
    <row r="21" spans="1:34" s="1" customFormat="1" outlineLevel="1" x14ac:dyDescent="0.25">
      <c r="A21" s="2"/>
      <c r="B21" s="660" t="s">
        <v>898</v>
      </c>
      <c r="C21" s="665" t="s">
        <v>899</v>
      </c>
      <c r="D21" s="43"/>
      <c r="E21" s="661"/>
      <c r="F21" s="662" t="s">
        <v>900</v>
      </c>
    </row>
    <row r="22" spans="1:34" s="1" customFormat="1" outlineLevel="1" x14ac:dyDescent="0.25">
      <c r="A22" s="2"/>
      <c r="B22" s="663" t="s">
        <v>398</v>
      </c>
      <c r="C22" s="666">
        <v>0</v>
      </c>
      <c r="E22" s="672">
        <v>2030</v>
      </c>
      <c r="F22" s="670">
        <f>H51</f>
        <v>81.281739130434772</v>
      </c>
    </row>
    <row r="23" spans="1:34" s="1" customFormat="1" outlineLevel="1" x14ac:dyDescent="0.25">
      <c r="A23" s="2"/>
      <c r="B23" s="155" t="s">
        <v>399</v>
      </c>
      <c r="C23" s="667">
        <v>0</v>
      </c>
      <c r="E23" s="671">
        <v>2035</v>
      </c>
      <c r="F23" s="428">
        <f>M51</f>
        <v>216.75130434782611</v>
      </c>
    </row>
    <row r="24" spans="1:34" s="1" customFormat="1" ht="15.75" customHeight="1" outlineLevel="1" x14ac:dyDescent="0.25">
      <c r="B24" s="663" t="s">
        <v>400</v>
      </c>
      <c r="C24" s="668">
        <f>SUM(D49:AB49)/25/1000</f>
        <v>0.2228</v>
      </c>
      <c r="E24" s="672">
        <v>2040</v>
      </c>
      <c r="F24" s="670">
        <f>R51</f>
        <v>352.22086956521741</v>
      </c>
    </row>
    <row r="25" spans="1:34" s="1" customFormat="1" outlineLevel="1" x14ac:dyDescent="0.25">
      <c r="B25" s="155" t="s">
        <v>401</v>
      </c>
      <c r="C25" s="669">
        <f>C24</f>
        <v>0.2228</v>
      </c>
      <c r="E25" s="671">
        <v>2045</v>
      </c>
      <c r="F25" s="428">
        <f>W51</f>
        <v>487.69043478260869</v>
      </c>
    </row>
    <row r="26" spans="1:34" s="1" customFormat="1" outlineLevel="1" x14ac:dyDescent="0.25">
      <c r="B26" s="663" t="s">
        <v>901</v>
      </c>
      <c r="C26" s="670">
        <f>MAX(D51:AR51)</f>
        <v>623.15999999999974</v>
      </c>
      <c r="E26" s="672">
        <v>2050</v>
      </c>
      <c r="F26" s="670">
        <f>AB51</f>
        <v>623.15999999999974</v>
      </c>
    </row>
    <row r="27" spans="1:34" s="1" customFormat="1" outlineLevel="1" x14ac:dyDescent="0.25">
      <c r="B27" s="155" t="s">
        <v>403</v>
      </c>
      <c r="C27" s="428">
        <f>SUM(D49:AV49)*1000/SUM(D51:AV51)</f>
        <v>399.67664805186479</v>
      </c>
      <c r="E27" s="7"/>
    </row>
    <row r="28" spans="1:34" s="1" customFormat="1" outlineLevel="1" x14ac:dyDescent="0.25"/>
    <row r="29" spans="1:34" s="1" customFormat="1" outlineLevel="1" x14ac:dyDescent="0.25">
      <c r="A29" s="2"/>
      <c r="B29" s="284" t="s">
        <v>903</v>
      </c>
      <c r="D29" s="43"/>
      <c r="E29" s="7"/>
      <c r="I29" s="277" t="s">
        <v>876</v>
      </c>
    </row>
    <row r="30" spans="1:34" s="1" customFormat="1" ht="16.5" customHeight="1" outlineLevel="1" x14ac:dyDescent="0.25">
      <c r="A30" s="2"/>
      <c r="B30" s="155" t="s">
        <v>904</v>
      </c>
      <c r="C30" s="307" t="s">
        <v>905</v>
      </c>
      <c r="D30" s="12"/>
      <c r="E30" s="12"/>
      <c r="F30" s="12"/>
      <c r="G30" s="12"/>
      <c r="H30" s="12"/>
      <c r="I30" s="311" t="s">
        <v>474</v>
      </c>
      <c r="J30" s="295" t="s">
        <v>906</v>
      </c>
    </row>
    <row r="31" spans="1:34" s="1" customFormat="1" ht="16.5" customHeight="1" outlineLevel="1" x14ac:dyDescent="0.25">
      <c r="A31" s="2"/>
      <c r="B31" s="155" t="s">
        <v>907</v>
      </c>
      <c r="C31" s="307" t="s">
        <v>905</v>
      </c>
      <c r="D31" s="395">
        <f>IF(C31="Kõrge",3,IF(C31="Mõõdukas",2,1))</f>
        <v>2</v>
      </c>
      <c r="E31" s="12"/>
      <c r="F31" s="12"/>
      <c r="G31" s="12"/>
      <c r="H31" s="12"/>
      <c r="I31" s="312" t="s">
        <v>905</v>
      </c>
      <c r="J31" s="295" t="s">
        <v>908</v>
      </c>
    </row>
    <row r="32" spans="1:34" s="1" customFormat="1" outlineLevel="1" x14ac:dyDescent="0.25">
      <c r="A32" s="2"/>
      <c r="B32" s="155" t="s">
        <v>909</v>
      </c>
      <c r="C32" s="307" t="s">
        <v>905</v>
      </c>
      <c r="D32" s="395">
        <f>IF(C32="Kõrge",3,IF(C32="Mõõdukas",2,1))</f>
        <v>2</v>
      </c>
      <c r="E32" s="12"/>
      <c r="F32" s="12"/>
      <c r="I32" s="313" t="s">
        <v>910</v>
      </c>
      <c r="J32" s="295" t="s">
        <v>911</v>
      </c>
    </row>
    <row r="33" spans="1:48" s="1" customFormat="1" ht="16.5" customHeight="1" x14ac:dyDescent="0.25">
      <c r="C33" s="399" t="s">
        <v>912</v>
      </c>
      <c r="D33" s="396">
        <f>D32+D31</f>
        <v>4</v>
      </c>
    </row>
    <row r="34" spans="1:48" x14ac:dyDescent="0.25">
      <c r="A34" s="1"/>
      <c r="B34" s="673" t="s">
        <v>913</v>
      </c>
      <c r="C34" s="659"/>
      <c r="D34" s="659"/>
      <c r="E34" s="659"/>
      <c r="F34" s="659"/>
      <c r="G34" s="659"/>
      <c r="H34" s="659"/>
      <c r="I34" s="659"/>
      <c r="J34" s="659"/>
      <c r="K34" s="659"/>
      <c r="L34" s="659"/>
      <c r="M34" s="659"/>
      <c r="N34" s="659"/>
      <c r="O34" s="659"/>
      <c r="P34" s="659"/>
      <c r="Q34" s="659"/>
      <c r="R34" s="659"/>
      <c r="S34" s="659"/>
      <c r="T34" s="659"/>
      <c r="U34" s="659"/>
      <c r="V34" s="659"/>
      <c r="W34" s="659"/>
      <c r="X34" s="659"/>
      <c r="Y34" s="659"/>
      <c r="Z34" s="659"/>
      <c r="AA34" s="659"/>
      <c r="AB34" s="659"/>
      <c r="AC34" s="659"/>
      <c r="AD34" s="659"/>
      <c r="AE34" s="659"/>
      <c r="AF34" s="659"/>
      <c r="AG34" s="659"/>
      <c r="AH34" s="659"/>
      <c r="AI34" s="659"/>
      <c r="AJ34" s="659"/>
      <c r="AK34" s="659"/>
      <c r="AL34" s="659"/>
      <c r="AM34" s="659"/>
      <c r="AN34" s="659"/>
      <c r="AO34" s="659"/>
      <c r="AP34" s="659"/>
      <c r="AQ34" s="659"/>
      <c r="AR34" s="659"/>
      <c r="AS34" s="659"/>
      <c r="AT34" s="659"/>
      <c r="AU34" s="659"/>
      <c r="AV34" s="659"/>
    </row>
    <row r="35" spans="1:48" s="15" customFormat="1" ht="7.5" customHeight="1" outlineLevel="1" x14ac:dyDescent="0.25"/>
    <row r="36" spans="1:48" s="15" customFormat="1" ht="13.5" outlineLevel="1" x14ac:dyDescent="0.25">
      <c r="B36" s="696" t="s">
        <v>914</v>
      </c>
      <c r="C36" s="697"/>
      <c r="D36" s="698">
        <v>2026</v>
      </c>
      <c r="E36" s="698">
        <f>D36+1</f>
        <v>2027</v>
      </c>
      <c r="F36" s="698">
        <f t="shared" ref="F36:AV36" si="0">E36+1</f>
        <v>2028</v>
      </c>
      <c r="G36" s="698">
        <f t="shared" si="0"/>
        <v>2029</v>
      </c>
      <c r="H36" s="698">
        <f t="shared" si="0"/>
        <v>2030</v>
      </c>
      <c r="I36" s="698">
        <f t="shared" si="0"/>
        <v>2031</v>
      </c>
      <c r="J36" s="698">
        <f t="shared" si="0"/>
        <v>2032</v>
      </c>
      <c r="K36" s="698">
        <f t="shared" si="0"/>
        <v>2033</v>
      </c>
      <c r="L36" s="698">
        <f t="shared" si="0"/>
        <v>2034</v>
      </c>
      <c r="M36" s="698">
        <f t="shared" si="0"/>
        <v>2035</v>
      </c>
      <c r="N36" s="698">
        <f>M36+1</f>
        <v>2036</v>
      </c>
      <c r="O36" s="698">
        <f t="shared" si="0"/>
        <v>2037</v>
      </c>
      <c r="P36" s="698">
        <f t="shared" si="0"/>
        <v>2038</v>
      </c>
      <c r="Q36" s="698">
        <f t="shared" si="0"/>
        <v>2039</v>
      </c>
      <c r="R36" s="698">
        <f t="shared" si="0"/>
        <v>2040</v>
      </c>
      <c r="S36" s="698">
        <f>R36+1</f>
        <v>2041</v>
      </c>
      <c r="T36" s="698">
        <f>S36+1</f>
        <v>2042</v>
      </c>
      <c r="U36" s="698">
        <f>T36+1</f>
        <v>2043</v>
      </c>
      <c r="V36" s="698">
        <f t="shared" si="0"/>
        <v>2044</v>
      </c>
      <c r="W36" s="698">
        <f t="shared" si="0"/>
        <v>2045</v>
      </c>
      <c r="X36" s="698">
        <f t="shared" si="0"/>
        <v>2046</v>
      </c>
      <c r="Y36" s="698">
        <f t="shared" si="0"/>
        <v>2047</v>
      </c>
      <c r="Z36" s="698">
        <f t="shared" si="0"/>
        <v>2048</v>
      </c>
      <c r="AA36" s="698">
        <f t="shared" si="0"/>
        <v>2049</v>
      </c>
      <c r="AB36" s="698">
        <f t="shared" si="0"/>
        <v>2050</v>
      </c>
      <c r="AC36" s="698">
        <f t="shared" si="0"/>
        <v>2051</v>
      </c>
      <c r="AD36" s="698">
        <f t="shared" si="0"/>
        <v>2052</v>
      </c>
      <c r="AE36" s="698">
        <f t="shared" si="0"/>
        <v>2053</v>
      </c>
      <c r="AF36" s="698">
        <f t="shared" si="0"/>
        <v>2054</v>
      </c>
      <c r="AG36" s="698">
        <f t="shared" si="0"/>
        <v>2055</v>
      </c>
      <c r="AH36" s="698">
        <f t="shared" si="0"/>
        <v>2056</v>
      </c>
      <c r="AI36" s="698">
        <f t="shared" si="0"/>
        <v>2057</v>
      </c>
      <c r="AJ36" s="698">
        <f t="shared" si="0"/>
        <v>2058</v>
      </c>
      <c r="AK36" s="698">
        <f t="shared" si="0"/>
        <v>2059</v>
      </c>
      <c r="AL36" s="698">
        <f t="shared" si="0"/>
        <v>2060</v>
      </c>
      <c r="AM36" s="698">
        <f t="shared" si="0"/>
        <v>2061</v>
      </c>
      <c r="AN36" s="698">
        <f t="shared" si="0"/>
        <v>2062</v>
      </c>
      <c r="AO36" s="698">
        <f t="shared" si="0"/>
        <v>2063</v>
      </c>
      <c r="AP36" s="698">
        <f t="shared" si="0"/>
        <v>2064</v>
      </c>
      <c r="AQ36" s="698">
        <f t="shared" si="0"/>
        <v>2065</v>
      </c>
      <c r="AR36" s="698">
        <f t="shared" si="0"/>
        <v>2066</v>
      </c>
      <c r="AS36" s="698">
        <f t="shared" si="0"/>
        <v>2067</v>
      </c>
      <c r="AT36" s="698">
        <f t="shared" si="0"/>
        <v>2068</v>
      </c>
      <c r="AU36" s="698">
        <f t="shared" si="0"/>
        <v>2069</v>
      </c>
      <c r="AV36" s="699">
        <f t="shared" si="0"/>
        <v>2070</v>
      </c>
    </row>
    <row r="37" spans="1:48" s="15" customFormat="1" ht="13.5" outlineLevel="1" x14ac:dyDescent="0.25">
      <c r="B37" s="671" t="s">
        <v>1343</v>
      </c>
      <c r="C37" s="674" t="s">
        <v>1567</v>
      </c>
      <c r="D37" s="675">
        <f>IF(OR(D36&lt;$C$8,D36&gt;$C$9),0,1)</f>
        <v>0</v>
      </c>
      <c r="E37" s="675">
        <f t="shared" ref="E37:AV37" si="1">IF(OR(E36&lt;$C$8,E36&gt;$C$9),0,1)</f>
        <v>0</v>
      </c>
      <c r="F37" s="675">
        <f t="shared" si="1"/>
        <v>1</v>
      </c>
      <c r="G37" s="675">
        <f t="shared" si="1"/>
        <v>1</v>
      </c>
      <c r="H37" s="675">
        <f t="shared" si="1"/>
        <v>1</v>
      </c>
      <c r="I37" s="675">
        <f t="shared" si="1"/>
        <v>1</v>
      </c>
      <c r="J37" s="675">
        <f t="shared" si="1"/>
        <v>1</v>
      </c>
      <c r="K37" s="675">
        <f t="shared" si="1"/>
        <v>1</v>
      </c>
      <c r="L37" s="675">
        <f t="shared" si="1"/>
        <v>1</v>
      </c>
      <c r="M37" s="675">
        <f t="shared" si="1"/>
        <v>1</v>
      </c>
      <c r="N37" s="675">
        <f t="shared" si="1"/>
        <v>1</v>
      </c>
      <c r="O37" s="675">
        <f t="shared" si="1"/>
        <v>1</v>
      </c>
      <c r="P37" s="675">
        <f t="shared" si="1"/>
        <v>1</v>
      </c>
      <c r="Q37" s="675">
        <f t="shared" si="1"/>
        <v>1</v>
      </c>
      <c r="R37" s="675">
        <f t="shared" si="1"/>
        <v>1</v>
      </c>
      <c r="S37" s="675">
        <f t="shared" si="1"/>
        <v>1</v>
      </c>
      <c r="T37" s="675">
        <f t="shared" si="1"/>
        <v>1</v>
      </c>
      <c r="U37" s="675">
        <f t="shared" si="1"/>
        <v>1</v>
      </c>
      <c r="V37" s="675">
        <f t="shared" si="1"/>
        <v>1</v>
      </c>
      <c r="W37" s="675">
        <f t="shared" si="1"/>
        <v>1</v>
      </c>
      <c r="X37" s="675">
        <f t="shared" si="1"/>
        <v>1</v>
      </c>
      <c r="Y37" s="675">
        <f t="shared" si="1"/>
        <v>1</v>
      </c>
      <c r="Z37" s="675">
        <f t="shared" si="1"/>
        <v>1</v>
      </c>
      <c r="AA37" s="675">
        <f t="shared" si="1"/>
        <v>1</v>
      </c>
      <c r="AB37" s="675">
        <f t="shared" si="1"/>
        <v>1</v>
      </c>
      <c r="AC37" s="675">
        <f t="shared" si="1"/>
        <v>0</v>
      </c>
      <c r="AD37" s="675">
        <f t="shared" si="1"/>
        <v>0</v>
      </c>
      <c r="AE37" s="675">
        <f t="shared" si="1"/>
        <v>0</v>
      </c>
      <c r="AF37" s="675">
        <f t="shared" si="1"/>
        <v>0</v>
      </c>
      <c r="AG37" s="675">
        <f t="shared" si="1"/>
        <v>0</v>
      </c>
      <c r="AH37" s="675">
        <f t="shared" si="1"/>
        <v>0</v>
      </c>
      <c r="AI37" s="675">
        <f t="shared" si="1"/>
        <v>0</v>
      </c>
      <c r="AJ37" s="675">
        <f t="shared" si="1"/>
        <v>0</v>
      </c>
      <c r="AK37" s="675">
        <f t="shared" si="1"/>
        <v>0</v>
      </c>
      <c r="AL37" s="675">
        <f t="shared" si="1"/>
        <v>0</v>
      </c>
      <c r="AM37" s="675">
        <f t="shared" si="1"/>
        <v>0</v>
      </c>
      <c r="AN37" s="675">
        <f t="shared" si="1"/>
        <v>0</v>
      </c>
      <c r="AO37" s="675">
        <f t="shared" si="1"/>
        <v>0</v>
      </c>
      <c r="AP37" s="675">
        <f t="shared" si="1"/>
        <v>0</v>
      </c>
      <c r="AQ37" s="675">
        <f t="shared" si="1"/>
        <v>0</v>
      </c>
      <c r="AR37" s="675">
        <f t="shared" si="1"/>
        <v>0</v>
      </c>
      <c r="AS37" s="675">
        <f t="shared" si="1"/>
        <v>0</v>
      </c>
      <c r="AT37" s="675">
        <f t="shared" si="1"/>
        <v>0</v>
      </c>
      <c r="AU37" s="675">
        <f t="shared" si="1"/>
        <v>0</v>
      </c>
      <c r="AV37" s="676">
        <f t="shared" si="1"/>
        <v>0</v>
      </c>
    </row>
    <row r="38" spans="1:48" s="15" customFormat="1" ht="13.5" outlineLevel="1" x14ac:dyDescent="0.25">
      <c r="B38" s="684" t="s">
        <v>1622</v>
      </c>
      <c r="C38" s="685"/>
      <c r="D38" s="686"/>
      <c r="E38" s="686"/>
      <c r="F38" s="686"/>
      <c r="G38" s="686"/>
      <c r="H38" s="686"/>
      <c r="I38" s="686"/>
      <c r="J38" s="686"/>
      <c r="K38" s="686"/>
      <c r="L38" s="686"/>
      <c r="M38" s="686"/>
      <c r="N38" s="686"/>
      <c r="O38" s="686"/>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6"/>
      <c r="AM38" s="686"/>
      <c r="AN38" s="686"/>
      <c r="AO38" s="686"/>
      <c r="AP38" s="686"/>
      <c r="AQ38" s="686"/>
      <c r="AR38" s="686"/>
      <c r="AS38" s="686"/>
      <c r="AT38" s="686"/>
      <c r="AU38" s="686"/>
      <c r="AV38" s="687"/>
    </row>
    <row r="39" spans="1:48" s="15" customFormat="1" ht="13.5" outlineLevel="1" x14ac:dyDescent="0.25">
      <c r="B39" s="684" t="s">
        <v>1623</v>
      </c>
      <c r="C39" s="685" t="s">
        <v>1624</v>
      </c>
      <c r="D39" s="686">
        <f t="shared" ref="D39:AV39" si="2">D37*$C$12/$C$10</f>
        <v>0</v>
      </c>
      <c r="E39" s="686">
        <f t="shared" si="2"/>
        <v>0</v>
      </c>
      <c r="F39" s="686">
        <f t="shared" si="2"/>
        <v>8.695652173913043</v>
      </c>
      <c r="G39" s="688">
        <f t="shared" si="2"/>
        <v>8.695652173913043</v>
      </c>
      <c r="H39" s="686">
        <f t="shared" si="2"/>
        <v>8.695652173913043</v>
      </c>
      <c r="I39" s="686">
        <f t="shared" si="2"/>
        <v>8.695652173913043</v>
      </c>
      <c r="J39" s="686">
        <f t="shared" si="2"/>
        <v>8.695652173913043</v>
      </c>
      <c r="K39" s="686">
        <f t="shared" si="2"/>
        <v>8.695652173913043</v>
      </c>
      <c r="L39" s="686">
        <f t="shared" si="2"/>
        <v>8.695652173913043</v>
      </c>
      <c r="M39" s="686">
        <f t="shared" si="2"/>
        <v>8.695652173913043</v>
      </c>
      <c r="N39" s="686">
        <f t="shared" si="2"/>
        <v>8.695652173913043</v>
      </c>
      <c r="O39" s="686">
        <f t="shared" si="2"/>
        <v>8.695652173913043</v>
      </c>
      <c r="P39" s="686">
        <f t="shared" si="2"/>
        <v>8.695652173913043</v>
      </c>
      <c r="Q39" s="686">
        <f t="shared" si="2"/>
        <v>8.695652173913043</v>
      </c>
      <c r="R39" s="686">
        <f t="shared" si="2"/>
        <v>8.695652173913043</v>
      </c>
      <c r="S39" s="686">
        <f t="shared" si="2"/>
        <v>8.695652173913043</v>
      </c>
      <c r="T39" s="686">
        <f t="shared" si="2"/>
        <v>8.695652173913043</v>
      </c>
      <c r="U39" s="686">
        <f t="shared" si="2"/>
        <v>8.695652173913043</v>
      </c>
      <c r="V39" s="686">
        <f t="shared" si="2"/>
        <v>8.695652173913043</v>
      </c>
      <c r="W39" s="686">
        <f t="shared" si="2"/>
        <v>8.695652173913043</v>
      </c>
      <c r="X39" s="686">
        <f t="shared" si="2"/>
        <v>8.695652173913043</v>
      </c>
      <c r="Y39" s="686">
        <f t="shared" si="2"/>
        <v>8.695652173913043</v>
      </c>
      <c r="Z39" s="686">
        <f t="shared" si="2"/>
        <v>8.695652173913043</v>
      </c>
      <c r="AA39" s="686">
        <f t="shared" si="2"/>
        <v>8.695652173913043</v>
      </c>
      <c r="AB39" s="686">
        <f t="shared" si="2"/>
        <v>8.695652173913043</v>
      </c>
      <c r="AC39" s="686">
        <f t="shared" si="2"/>
        <v>0</v>
      </c>
      <c r="AD39" s="686">
        <f t="shared" si="2"/>
        <v>0</v>
      </c>
      <c r="AE39" s="686">
        <f t="shared" si="2"/>
        <v>0</v>
      </c>
      <c r="AF39" s="686">
        <f t="shared" si="2"/>
        <v>0</v>
      </c>
      <c r="AG39" s="686">
        <f t="shared" si="2"/>
        <v>0</v>
      </c>
      <c r="AH39" s="686">
        <f t="shared" si="2"/>
        <v>0</v>
      </c>
      <c r="AI39" s="686">
        <f t="shared" si="2"/>
        <v>0</v>
      </c>
      <c r="AJ39" s="686">
        <f t="shared" si="2"/>
        <v>0</v>
      </c>
      <c r="AK39" s="686">
        <f t="shared" si="2"/>
        <v>0</v>
      </c>
      <c r="AL39" s="686">
        <f t="shared" si="2"/>
        <v>0</v>
      </c>
      <c r="AM39" s="686">
        <f t="shared" si="2"/>
        <v>0</v>
      </c>
      <c r="AN39" s="686">
        <f t="shared" si="2"/>
        <v>0</v>
      </c>
      <c r="AO39" s="686">
        <f t="shared" si="2"/>
        <v>0</v>
      </c>
      <c r="AP39" s="686">
        <f t="shared" si="2"/>
        <v>0</v>
      </c>
      <c r="AQ39" s="686">
        <f t="shared" si="2"/>
        <v>0</v>
      </c>
      <c r="AR39" s="686">
        <f t="shared" si="2"/>
        <v>0</v>
      </c>
      <c r="AS39" s="686">
        <f t="shared" si="2"/>
        <v>0</v>
      </c>
      <c r="AT39" s="686">
        <f t="shared" si="2"/>
        <v>0</v>
      </c>
      <c r="AU39" s="686">
        <f t="shared" si="2"/>
        <v>0</v>
      </c>
      <c r="AV39" s="687">
        <f t="shared" si="2"/>
        <v>0</v>
      </c>
    </row>
    <row r="40" spans="1:48" s="15" customFormat="1" ht="13.5" outlineLevel="1" x14ac:dyDescent="0.25">
      <c r="B40" s="684" t="s">
        <v>1625</v>
      </c>
      <c r="C40" s="685" t="s">
        <v>1624</v>
      </c>
      <c r="D40" s="686">
        <f>D37*$C$13/$C$10</f>
        <v>0</v>
      </c>
      <c r="E40" s="686">
        <f>E37*$C$13/$C$10</f>
        <v>0</v>
      </c>
      <c r="F40" s="686">
        <f t="shared" ref="F40:AV40" si="3">F37*$C$13/$C$10</f>
        <v>0.43478260869565216</v>
      </c>
      <c r="G40" s="688">
        <f t="shared" si="3"/>
        <v>0.43478260869565216</v>
      </c>
      <c r="H40" s="686">
        <f t="shared" si="3"/>
        <v>0.43478260869565216</v>
      </c>
      <c r="I40" s="686">
        <f t="shared" si="3"/>
        <v>0.43478260869565216</v>
      </c>
      <c r="J40" s="686">
        <f t="shared" si="3"/>
        <v>0.43478260869565216</v>
      </c>
      <c r="K40" s="686">
        <f t="shared" si="3"/>
        <v>0.43478260869565216</v>
      </c>
      <c r="L40" s="686">
        <f t="shared" si="3"/>
        <v>0.43478260869565216</v>
      </c>
      <c r="M40" s="686">
        <f t="shared" si="3"/>
        <v>0.43478260869565216</v>
      </c>
      <c r="N40" s="686">
        <f t="shared" si="3"/>
        <v>0.43478260869565216</v>
      </c>
      <c r="O40" s="686">
        <f t="shared" si="3"/>
        <v>0.43478260869565216</v>
      </c>
      <c r="P40" s="686">
        <f t="shared" si="3"/>
        <v>0.43478260869565216</v>
      </c>
      <c r="Q40" s="686">
        <f t="shared" si="3"/>
        <v>0.43478260869565216</v>
      </c>
      <c r="R40" s="686">
        <f t="shared" si="3"/>
        <v>0.43478260869565216</v>
      </c>
      <c r="S40" s="686">
        <f t="shared" si="3"/>
        <v>0.43478260869565216</v>
      </c>
      <c r="T40" s="686">
        <f t="shared" si="3"/>
        <v>0.43478260869565216</v>
      </c>
      <c r="U40" s="686">
        <f t="shared" si="3"/>
        <v>0.43478260869565216</v>
      </c>
      <c r="V40" s="686">
        <f t="shared" si="3"/>
        <v>0.43478260869565216</v>
      </c>
      <c r="W40" s="686">
        <f t="shared" si="3"/>
        <v>0.43478260869565216</v>
      </c>
      <c r="X40" s="686">
        <f t="shared" si="3"/>
        <v>0.43478260869565216</v>
      </c>
      <c r="Y40" s="686">
        <f t="shared" si="3"/>
        <v>0.43478260869565216</v>
      </c>
      <c r="Z40" s="686">
        <f t="shared" si="3"/>
        <v>0.43478260869565216</v>
      </c>
      <c r="AA40" s="686">
        <f t="shared" si="3"/>
        <v>0.43478260869565216</v>
      </c>
      <c r="AB40" s="686">
        <f t="shared" si="3"/>
        <v>0.43478260869565216</v>
      </c>
      <c r="AC40" s="686">
        <f t="shared" si="3"/>
        <v>0</v>
      </c>
      <c r="AD40" s="686">
        <f t="shared" si="3"/>
        <v>0</v>
      </c>
      <c r="AE40" s="686">
        <f t="shared" si="3"/>
        <v>0</v>
      </c>
      <c r="AF40" s="686">
        <f t="shared" si="3"/>
        <v>0</v>
      </c>
      <c r="AG40" s="686">
        <f t="shared" si="3"/>
        <v>0</v>
      </c>
      <c r="AH40" s="686">
        <f t="shared" si="3"/>
        <v>0</v>
      </c>
      <c r="AI40" s="686">
        <f t="shared" si="3"/>
        <v>0</v>
      </c>
      <c r="AJ40" s="686">
        <f t="shared" si="3"/>
        <v>0</v>
      </c>
      <c r="AK40" s="686">
        <f t="shared" si="3"/>
        <v>0</v>
      </c>
      <c r="AL40" s="686">
        <f t="shared" si="3"/>
        <v>0</v>
      </c>
      <c r="AM40" s="686">
        <f t="shared" si="3"/>
        <v>0</v>
      </c>
      <c r="AN40" s="686">
        <f t="shared" si="3"/>
        <v>0</v>
      </c>
      <c r="AO40" s="686">
        <f t="shared" si="3"/>
        <v>0</v>
      </c>
      <c r="AP40" s="686">
        <f t="shared" si="3"/>
        <v>0</v>
      </c>
      <c r="AQ40" s="686">
        <f t="shared" si="3"/>
        <v>0</v>
      </c>
      <c r="AR40" s="686">
        <f t="shared" si="3"/>
        <v>0</v>
      </c>
      <c r="AS40" s="686">
        <f t="shared" si="3"/>
        <v>0</v>
      </c>
      <c r="AT40" s="686">
        <f t="shared" si="3"/>
        <v>0</v>
      </c>
      <c r="AU40" s="686">
        <f t="shared" si="3"/>
        <v>0</v>
      </c>
      <c r="AV40" s="687">
        <f t="shared" si="3"/>
        <v>0</v>
      </c>
    </row>
    <row r="41" spans="1:48" s="15" customFormat="1" ht="13.5" outlineLevel="1" x14ac:dyDescent="0.25">
      <c r="B41" s="684" t="s">
        <v>1626</v>
      </c>
      <c r="C41" s="685" t="s">
        <v>1624</v>
      </c>
      <c r="D41" s="686">
        <f>D37*$C$14/$C$10</f>
        <v>0</v>
      </c>
      <c r="E41" s="686">
        <f>E37*$C$14/$C$10</f>
        <v>0</v>
      </c>
      <c r="F41" s="686">
        <f t="shared" ref="F41:AV41" si="4">F37*$C$14/$C$10</f>
        <v>0.43478260869565216</v>
      </c>
      <c r="G41" s="688">
        <f t="shared" si="4"/>
        <v>0.43478260869565216</v>
      </c>
      <c r="H41" s="686">
        <f t="shared" si="4"/>
        <v>0.43478260869565216</v>
      </c>
      <c r="I41" s="686">
        <f t="shared" si="4"/>
        <v>0.43478260869565216</v>
      </c>
      <c r="J41" s="686">
        <f t="shared" si="4"/>
        <v>0.43478260869565216</v>
      </c>
      <c r="K41" s="686">
        <f t="shared" si="4"/>
        <v>0.43478260869565216</v>
      </c>
      <c r="L41" s="686">
        <f t="shared" si="4"/>
        <v>0.43478260869565216</v>
      </c>
      <c r="M41" s="686">
        <f t="shared" si="4"/>
        <v>0.43478260869565216</v>
      </c>
      <c r="N41" s="686">
        <f t="shared" si="4"/>
        <v>0.43478260869565216</v>
      </c>
      <c r="O41" s="686">
        <f t="shared" si="4"/>
        <v>0.43478260869565216</v>
      </c>
      <c r="P41" s="686">
        <f t="shared" si="4"/>
        <v>0.43478260869565216</v>
      </c>
      <c r="Q41" s="686">
        <f t="shared" si="4"/>
        <v>0.43478260869565216</v>
      </c>
      <c r="R41" s="686">
        <f t="shared" si="4"/>
        <v>0.43478260869565216</v>
      </c>
      <c r="S41" s="686">
        <f t="shared" si="4"/>
        <v>0.43478260869565216</v>
      </c>
      <c r="T41" s="686">
        <f t="shared" si="4"/>
        <v>0.43478260869565216</v>
      </c>
      <c r="U41" s="686">
        <f t="shared" si="4"/>
        <v>0.43478260869565216</v>
      </c>
      <c r="V41" s="686">
        <f t="shared" si="4"/>
        <v>0.43478260869565216</v>
      </c>
      <c r="W41" s="686">
        <f t="shared" si="4"/>
        <v>0.43478260869565216</v>
      </c>
      <c r="X41" s="686">
        <f t="shared" si="4"/>
        <v>0.43478260869565216</v>
      </c>
      <c r="Y41" s="686">
        <f t="shared" si="4"/>
        <v>0.43478260869565216</v>
      </c>
      <c r="Z41" s="686">
        <f t="shared" si="4"/>
        <v>0.43478260869565216</v>
      </c>
      <c r="AA41" s="686">
        <f t="shared" si="4"/>
        <v>0.43478260869565216</v>
      </c>
      <c r="AB41" s="686">
        <f t="shared" si="4"/>
        <v>0.43478260869565216</v>
      </c>
      <c r="AC41" s="686">
        <f t="shared" si="4"/>
        <v>0</v>
      </c>
      <c r="AD41" s="686">
        <f t="shared" si="4"/>
        <v>0</v>
      </c>
      <c r="AE41" s="686">
        <f t="shared" si="4"/>
        <v>0</v>
      </c>
      <c r="AF41" s="686">
        <f t="shared" si="4"/>
        <v>0</v>
      </c>
      <c r="AG41" s="686">
        <f t="shared" si="4"/>
        <v>0</v>
      </c>
      <c r="AH41" s="686">
        <f t="shared" si="4"/>
        <v>0</v>
      </c>
      <c r="AI41" s="686">
        <f t="shared" si="4"/>
        <v>0</v>
      </c>
      <c r="AJ41" s="686">
        <f t="shared" si="4"/>
        <v>0</v>
      </c>
      <c r="AK41" s="686">
        <f t="shared" si="4"/>
        <v>0</v>
      </c>
      <c r="AL41" s="686">
        <f t="shared" si="4"/>
        <v>0</v>
      </c>
      <c r="AM41" s="686">
        <f t="shared" si="4"/>
        <v>0</v>
      </c>
      <c r="AN41" s="686">
        <f t="shared" si="4"/>
        <v>0</v>
      </c>
      <c r="AO41" s="686">
        <f t="shared" si="4"/>
        <v>0</v>
      </c>
      <c r="AP41" s="686">
        <f t="shared" si="4"/>
        <v>0</v>
      </c>
      <c r="AQ41" s="686">
        <f t="shared" si="4"/>
        <v>0</v>
      </c>
      <c r="AR41" s="686">
        <f t="shared" si="4"/>
        <v>0</v>
      </c>
      <c r="AS41" s="686">
        <f t="shared" si="4"/>
        <v>0</v>
      </c>
      <c r="AT41" s="686">
        <f t="shared" si="4"/>
        <v>0</v>
      </c>
      <c r="AU41" s="686">
        <f t="shared" si="4"/>
        <v>0</v>
      </c>
      <c r="AV41" s="687">
        <f t="shared" si="4"/>
        <v>0</v>
      </c>
    </row>
    <row r="42" spans="1:48" s="15" customFormat="1" ht="13.5" outlineLevel="1" x14ac:dyDescent="0.25">
      <c r="B42" s="671" t="s">
        <v>1627</v>
      </c>
      <c r="C42" s="674"/>
      <c r="D42" s="675"/>
      <c r="E42" s="675"/>
      <c r="F42" s="675"/>
      <c r="G42" s="675"/>
      <c r="H42" s="675"/>
      <c r="I42" s="675"/>
      <c r="J42" s="675"/>
      <c r="K42" s="675"/>
      <c r="L42" s="675"/>
      <c r="M42" s="675"/>
      <c r="N42" s="675"/>
      <c r="O42" s="675"/>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5"/>
      <c r="AM42" s="675"/>
      <c r="AN42" s="675"/>
      <c r="AO42" s="675"/>
      <c r="AP42" s="675"/>
      <c r="AQ42" s="675"/>
      <c r="AR42" s="675"/>
      <c r="AS42" s="675"/>
      <c r="AT42" s="675"/>
      <c r="AU42" s="675"/>
      <c r="AV42" s="676"/>
    </row>
    <row r="43" spans="1:48" s="15" customFormat="1" ht="13.5" outlineLevel="1" x14ac:dyDescent="0.25">
      <c r="B43" s="671" t="s">
        <v>1623</v>
      </c>
      <c r="C43" s="674" t="s">
        <v>1624</v>
      </c>
      <c r="D43" s="675">
        <f>D39</f>
        <v>0</v>
      </c>
      <c r="E43" s="675">
        <f>D43+E39</f>
        <v>0</v>
      </c>
      <c r="F43" s="675">
        <f t="shared" ref="F43:AV45" si="5">E43+F39</f>
        <v>8.695652173913043</v>
      </c>
      <c r="G43" s="675">
        <f t="shared" si="5"/>
        <v>17.391304347826086</v>
      </c>
      <c r="H43" s="675">
        <f t="shared" si="5"/>
        <v>26.086956521739129</v>
      </c>
      <c r="I43" s="675">
        <f t="shared" si="5"/>
        <v>34.782608695652172</v>
      </c>
      <c r="J43" s="675">
        <f t="shared" si="5"/>
        <v>43.478260869565219</v>
      </c>
      <c r="K43" s="675">
        <f t="shared" si="5"/>
        <v>52.173913043478265</v>
      </c>
      <c r="L43" s="675">
        <f t="shared" si="5"/>
        <v>60.869565217391312</v>
      </c>
      <c r="M43" s="675">
        <f t="shared" si="5"/>
        <v>69.565217391304358</v>
      </c>
      <c r="N43" s="675">
        <f t="shared" si="5"/>
        <v>78.260869565217405</v>
      </c>
      <c r="O43" s="675">
        <f t="shared" si="5"/>
        <v>86.956521739130451</v>
      </c>
      <c r="P43" s="675">
        <f t="shared" si="5"/>
        <v>95.652173913043498</v>
      </c>
      <c r="Q43" s="675">
        <f t="shared" si="5"/>
        <v>104.34782608695654</v>
      </c>
      <c r="R43" s="675">
        <f t="shared" si="5"/>
        <v>113.04347826086959</v>
      </c>
      <c r="S43" s="675">
        <f t="shared" si="5"/>
        <v>121.73913043478264</v>
      </c>
      <c r="T43" s="675">
        <f t="shared" si="5"/>
        <v>130.43478260869568</v>
      </c>
      <c r="U43" s="675">
        <f t="shared" si="5"/>
        <v>139.13043478260872</v>
      </c>
      <c r="V43" s="675">
        <f t="shared" si="5"/>
        <v>147.82608695652175</v>
      </c>
      <c r="W43" s="675">
        <f t="shared" si="5"/>
        <v>156.52173913043478</v>
      </c>
      <c r="X43" s="675">
        <f t="shared" si="5"/>
        <v>165.21739130434781</v>
      </c>
      <c r="Y43" s="675">
        <f t="shared" si="5"/>
        <v>173.91304347826085</v>
      </c>
      <c r="Z43" s="675">
        <f t="shared" si="5"/>
        <v>182.60869565217388</v>
      </c>
      <c r="AA43" s="675">
        <f t="shared" si="5"/>
        <v>191.30434782608691</v>
      </c>
      <c r="AB43" s="675">
        <f t="shared" si="5"/>
        <v>199.99999999999994</v>
      </c>
      <c r="AC43" s="675">
        <f t="shared" si="5"/>
        <v>199.99999999999994</v>
      </c>
      <c r="AD43" s="675">
        <f t="shared" si="5"/>
        <v>199.99999999999994</v>
      </c>
      <c r="AE43" s="675">
        <f t="shared" si="5"/>
        <v>199.99999999999994</v>
      </c>
      <c r="AF43" s="675">
        <f t="shared" si="5"/>
        <v>199.99999999999994</v>
      </c>
      <c r="AG43" s="675">
        <f t="shared" si="5"/>
        <v>199.99999999999994</v>
      </c>
      <c r="AH43" s="675">
        <f t="shared" si="5"/>
        <v>199.99999999999994</v>
      </c>
      <c r="AI43" s="675">
        <f t="shared" si="5"/>
        <v>199.99999999999994</v>
      </c>
      <c r="AJ43" s="675">
        <f t="shared" si="5"/>
        <v>199.99999999999994</v>
      </c>
      <c r="AK43" s="675">
        <f t="shared" si="5"/>
        <v>199.99999999999994</v>
      </c>
      <c r="AL43" s="675">
        <f t="shared" si="5"/>
        <v>199.99999999999994</v>
      </c>
      <c r="AM43" s="675">
        <f t="shared" si="5"/>
        <v>199.99999999999994</v>
      </c>
      <c r="AN43" s="675">
        <f t="shared" si="5"/>
        <v>199.99999999999994</v>
      </c>
      <c r="AO43" s="675">
        <f t="shared" si="5"/>
        <v>199.99999999999994</v>
      </c>
      <c r="AP43" s="675">
        <f t="shared" si="5"/>
        <v>199.99999999999994</v>
      </c>
      <c r="AQ43" s="675">
        <f t="shared" si="5"/>
        <v>199.99999999999994</v>
      </c>
      <c r="AR43" s="675">
        <f t="shared" si="5"/>
        <v>199.99999999999994</v>
      </c>
      <c r="AS43" s="675">
        <f t="shared" si="5"/>
        <v>199.99999999999994</v>
      </c>
      <c r="AT43" s="675">
        <f t="shared" si="5"/>
        <v>199.99999999999994</v>
      </c>
      <c r="AU43" s="675">
        <f t="shared" si="5"/>
        <v>199.99999999999994</v>
      </c>
      <c r="AV43" s="676">
        <f t="shared" si="5"/>
        <v>199.99999999999994</v>
      </c>
    </row>
    <row r="44" spans="1:48" s="15" customFormat="1" ht="13.5" outlineLevel="1" x14ac:dyDescent="0.25">
      <c r="B44" s="671" t="s">
        <v>1625</v>
      </c>
      <c r="C44" s="674" t="s">
        <v>1624</v>
      </c>
      <c r="D44" s="675">
        <f t="shared" ref="D44:D45" si="6">D40</f>
        <v>0</v>
      </c>
      <c r="E44" s="675">
        <f t="shared" ref="E44:T45" si="7">D44+E40</f>
        <v>0</v>
      </c>
      <c r="F44" s="675">
        <f t="shared" si="7"/>
        <v>0.43478260869565216</v>
      </c>
      <c r="G44" s="675">
        <f t="shared" si="7"/>
        <v>0.86956521739130432</v>
      </c>
      <c r="H44" s="675">
        <f t="shared" si="7"/>
        <v>1.3043478260869565</v>
      </c>
      <c r="I44" s="675">
        <f t="shared" si="7"/>
        <v>1.7391304347826086</v>
      </c>
      <c r="J44" s="675">
        <f t="shared" si="7"/>
        <v>2.1739130434782608</v>
      </c>
      <c r="K44" s="675">
        <f t="shared" si="7"/>
        <v>2.6086956521739131</v>
      </c>
      <c r="L44" s="675">
        <f t="shared" si="7"/>
        <v>3.0434782608695654</v>
      </c>
      <c r="M44" s="675">
        <f t="shared" si="7"/>
        <v>3.4782608695652177</v>
      </c>
      <c r="N44" s="675">
        <f t="shared" si="7"/>
        <v>3.9130434782608701</v>
      </c>
      <c r="O44" s="675">
        <f t="shared" si="7"/>
        <v>4.3478260869565224</v>
      </c>
      <c r="P44" s="675">
        <f t="shared" si="7"/>
        <v>4.7826086956521747</v>
      </c>
      <c r="Q44" s="675">
        <f t="shared" si="7"/>
        <v>5.2173913043478271</v>
      </c>
      <c r="R44" s="675">
        <f t="shared" si="7"/>
        <v>5.6521739130434794</v>
      </c>
      <c r="S44" s="675">
        <f t="shared" si="7"/>
        <v>6.0869565217391317</v>
      </c>
      <c r="T44" s="675">
        <f t="shared" si="7"/>
        <v>6.521739130434784</v>
      </c>
      <c r="U44" s="675">
        <f t="shared" si="5"/>
        <v>6.9565217391304364</v>
      </c>
      <c r="V44" s="675">
        <f t="shared" si="5"/>
        <v>7.3913043478260887</v>
      </c>
      <c r="W44" s="675">
        <f t="shared" si="5"/>
        <v>7.826086956521741</v>
      </c>
      <c r="X44" s="675">
        <f t="shared" si="5"/>
        <v>8.2608695652173925</v>
      </c>
      <c r="Y44" s="675">
        <f t="shared" si="5"/>
        <v>8.6956521739130448</v>
      </c>
      <c r="Z44" s="675">
        <f t="shared" si="5"/>
        <v>9.1304347826086971</v>
      </c>
      <c r="AA44" s="675">
        <f t="shared" si="5"/>
        <v>9.5652173913043494</v>
      </c>
      <c r="AB44" s="675">
        <f t="shared" si="5"/>
        <v>10.000000000000002</v>
      </c>
      <c r="AC44" s="675">
        <f t="shared" si="5"/>
        <v>10.000000000000002</v>
      </c>
      <c r="AD44" s="675">
        <f t="shared" si="5"/>
        <v>10.000000000000002</v>
      </c>
      <c r="AE44" s="675">
        <f t="shared" si="5"/>
        <v>10.000000000000002</v>
      </c>
      <c r="AF44" s="675">
        <f t="shared" si="5"/>
        <v>10.000000000000002</v>
      </c>
      <c r="AG44" s="675">
        <f t="shared" si="5"/>
        <v>10.000000000000002</v>
      </c>
      <c r="AH44" s="675">
        <f t="shared" si="5"/>
        <v>10.000000000000002</v>
      </c>
      <c r="AI44" s="675">
        <f t="shared" si="5"/>
        <v>10.000000000000002</v>
      </c>
      <c r="AJ44" s="675">
        <f t="shared" si="5"/>
        <v>10.000000000000002</v>
      </c>
      <c r="AK44" s="675">
        <f t="shared" si="5"/>
        <v>10.000000000000002</v>
      </c>
      <c r="AL44" s="675">
        <f t="shared" si="5"/>
        <v>10.000000000000002</v>
      </c>
      <c r="AM44" s="675">
        <f t="shared" si="5"/>
        <v>10.000000000000002</v>
      </c>
      <c r="AN44" s="675">
        <f t="shared" si="5"/>
        <v>10.000000000000002</v>
      </c>
      <c r="AO44" s="675">
        <f t="shared" si="5"/>
        <v>10.000000000000002</v>
      </c>
      <c r="AP44" s="675">
        <f t="shared" si="5"/>
        <v>10.000000000000002</v>
      </c>
      <c r="AQ44" s="675">
        <f t="shared" si="5"/>
        <v>10.000000000000002</v>
      </c>
      <c r="AR44" s="675">
        <f t="shared" si="5"/>
        <v>10.000000000000002</v>
      </c>
      <c r="AS44" s="675">
        <f t="shared" si="5"/>
        <v>10.000000000000002</v>
      </c>
      <c r="AT44" s="675">
        <f t="shared" si="5"/>
        <v>10.000000000000002</v>
      </c>
      <c r="AU44" s="675">
        <f t="shared" si="5"/>
        <v>10.000000000000002</v>
      </c>
      <c r="AV44" s="676">
        <f t="shared" si="5"/>
        <v>10.000000000000002</v>
      </c>
    </row>
    <row r="45" spans="1:48" s="15" customFormat="1" ht="13.5" outlineLevel="1" x14ac:dyDescent="0.25">
      <c r="B45" s="671" t="s">
        <v>1626</v>
      </c>
      <c r="C45" s="674" t="s">
        <v>1624</v>
      </c>
      <c r="D45" s="675">
        <f t="shared" si="6"/>
        <v>0</v>
      </c>
      <c r="E45" s="675">
        <f t="shared" si="7"/>
        <v>0</v>
      </c>
      <c r="F45" s="675">
        <f t="shared" si="5"/>
        <v>0.43478260869565216</v>
      </c>
      <c r="G45" s="675">
        <f t="shared" si="5"/>
        <v>0.86956521739130432</v>
      </c>
      <c r="H45" s="675">
        <f t="shared" si="5"/>
        <v>1.3043478260869565</v>
      </c>
      <c r="I45" s="675">
        <f t="shared" si="5"/>
        <v>1.7391304347826086</v>
      </c>
      <c r="J45" s="675">
        <f t="shared" si="5"/>
        <v>2.1739130434782608</v>
      </c>
      <c r="K45" s="675">
        <f t="shared" si="5"/>
        <v>2.6086956521739131</v>
      </c>
      <c r="L45" s="675">
        <f t="shared" si="5"/>
        <v>3.0434782608695654</v>
      </c>
      <c r="M45" s="675">
        <f t="shared" si="5"/>
        <v>3.4782608695652177</v>
      </c>
      <c r="N45" s="675">
        <f t="shared" si="5"/>
        <v>3.9130434782608701</v>
      </c>
      <c r="O45" s="675">
        <f t="shared" si="5"/>
        <v>4.3478260869565224</v>
      </c>
      <c r="P45" s="675">
        <f t="shared" si="5"/>
        <v>4.7826086956521747</v>
      </c>
      <c r="Q45" s="675">
        <f t="shared" si="5"/>
        <v>5.2173913043478271</v>
      </c>
      <c r="R45" s="675">
        <f t="shared" si="5"/>
        <v>5.6521739130434794</v>
      </c>
      <c r="S45" s="675">
        <f t="shared" si="5"/>
        <v>6.0869565217391317</v>
      </c>
      <c r="T45" s="675">
        <f t="shared" si="5"/>
        <v>6.521739130434784</v>
      </c>
      <c r="U45" s="675">
        <f t="shared" si="5"/>
        <v>6.9565217391304364</v>
      </c>
      <c r="V45" s="675">
        <f t="shared" si="5"/>
        <v>7.3913043478260887</v>
      </c>
      <c r="W45" s="675">
        <f t="shared" si="5"/>
        <v>7.826086956521741</v>
      </c>
      <c r="X45" s="675">
        <f t="shared" si="5"/>
        <v>8.2608695652173925</v>
      </c>
      <c r="Y45" s="675">
        <f t="shared" si="5"/>
        <v>8.6956521739130448</v>
      </c>
      <c r="Z45" s="675">
        <f t="shared" si="5"/>
        <v>9.1304347826086971</v>
      </c>
      <c r="AA45" s="675">
        <f t="shared" si="5"/>
        <v>9.5652173913043494</v>
      </c>
      <c r="AB45" s="675">
        <f t="shared" si="5"/>
        <v>10.000000000000002</v>
      </c>
      <c r="AC45" s="675">
        <f t="shared" si="5"/>
        <v>10.000000000000002</v>
      </c>
      <c r="AD45" s="675">
        <f t="shared" si="5"/>
        <v>10.000000000000002</v>
      </c>
      <c r="AE45" s="675">
        <f t="shared" si="5"/>
        <v>10.000000000000002</v>
      </c>
      <c r="AF45" s="675">
        <f t="shared" si="5"/>
        <v>10.000000000000002</v>
      </c>
      <c r="AG45" s="675">
        <f t="shared" si="5"/>
        <v>10.000000000000002</v>
      </c>
      <c r="AH45" s="675">
        <f t="shared" si="5"/>
        <v>10.000000000000002</v>
      </c>
      <c r="AI45" s="675">
        <f t="shared" si="5"/>
        <v>10.000000000000002</v>
      </c>
      <c r="AJ45" s="675">
        <f t="shared" si="5"/>
        <v>10.000000000000002</v>
      </c>
      <c r="AK45" s="675">
        <f t="shared" si="5"/>
        <v>10.000000000000002</v>
      </c>
      <c r="AL45" s="675">
        <f t="shared" si="5"/>
        <v>10.000000000000002</v>
      </c>
      <c r="AM45" s="675">
        <f t="shared" si="5"/>
        <v>10.000000000000002</v>
      </c>
      <c r="AN45" s="675">
        <f t="shared" si="5"/>
        <v>10.000000000000002</v>
      </c>
      <c r="AO45" s="675">
        <f t="shared" si="5"/>
        <v>10.000000000000002</v>
      </c>
      <c r="AP45" s="675">
        <f t="shared" si="5"/>
        <v>10.000000000000002</v>
      </c>
      <c r="AQ45" s="675">
        <f t="shared" si="5"/>
        <v>10.000000000000002</v>
      </c>
      <c r="AR45" s="675">
        <f t="shared" si="5"/>
        <v>10.000000000000002</v>
      </c>
      <c r="AS45" s="675">
        <f t="shared" si="5"/>
        <v>10.000000000000002</v>
      </c>
      <c r="AT45" s="675">
        <f t="shared" si="5"/>
        <v>10.000000000000002</v>
      </c>
      <c r="AU45" s="675">
        <f t="shared" si="5"/>
        <v>10.000000000000002</v>
      </c>
      <c r="AV45" s="676">
        <f t="shared" si="5"/>
        <v>10.000000000000002</v>
      </c>
    </row>
    <row r="46" spans="1:48" s="15" customFormat="1" ht="13.5" outlineLevel="1" x14ac:dyDescent="0.25">
      <c r="B46" s="689" t="s">
        <v>1628</v>
      </c>
      <c r="C46" s="685"/>
      <c r="D46" s="686"/>
      <c r="E46" s="686"/>
      <c r="F46" s="686"/>
      <c r="G46" s="686"/>
      <c r="H46" s="686"/>
      <c r="I46" s="686"/>
      <c r="J46" s="686"/>
      <c r="K46" s="686"/>
      <c r="L46" s="686"/>
      <c r="M46" s="686"/>
      <c r="N46" s="686"/>
      <c r="O46" s="686"/>
      <c r="P46" s="686"/>
      <c r="Q46" s="686"/>
      <c r="R46" s="686"/>
      <c r="S46" s="686"/>
      <c r="T46" s="686"/>
      <c r="U46" s="686"/>
      <c r="V46" s="686"/>
      <c r="W46" s="686"/>
      <c r="X46" s="686"/>
      <c r="Y46" s="686"/>
      <c r="Z46" s="686"/>
      <c r="AA46" s="686"/>
      <c r="AB46" s="686"/>
      <c r="AC46" s="686"/>
      <c r="AD46" s="686"/>
      <c r="AE46" s="686"/>
      <c r="AF46" s="686"/>
      <c r="AG46" s="686"/>
      <c r="AH46" s="686"/>
      <c r="AI46" s="686"/>
      <c r="AJ46" s="686"/>
      <c r="AK46" s="686"/>
      <c r="AL46" s="686"/>
      <c r="AM46" s="686"/>
      <c r="AN46" s="686"/>
      <c r="AO46" s="686"/>
      <c r="AP46" s="686"/>
      <c r="AQ46" s="686"/>
      <c r="AR46" s="686"/>
      <c r="AS46" s="686"/>
      <c r="AT46" s="686"/>
      <c r="AU46" s="686"/>
      <c r="AV46" s="687"/>
    </row>
    <row r="47" spans="1:48" s="15" customFormat="1" ht="13.5" outlineLevel="1" x14ac:dyDescent="0.25">
      <c r="B47" s="684" t="s">
        <v>1629</v>
      </c>
      <c r="C47" s="690" t="s">
        <v>1573</v>
      </c>
      <c r="D47" s="691">
        <f>(D39*$E$12+D40*$E$13+D41*$E$14)/1000</f>
        <v>0</v>
      </c>
      <c r="E47" s="691">
        <f t="shared" ref="E47:F47" si="8">(E39*$E$12+E40*$E$13+E41*$E$14)/1000</f>
        <v>0</v>
      </c>
      <c r="F47" s="691">
        <f t="shared" si="8"/>
        <v>179.56521739130432</v>
      </c>
      <c r="G47" s="691">
        <f>(G39*$E$12+G40*$E$13+G41*$E$14)/1000</f>
        <v>179.56521739130432</v>
      </c>
      <c r="H47" s="691">
        <f t="shared" ref="H47:AV47" si="9">(H39*$E$12+H40*$E$13+H41*$E$14)/1000</f>
        <v>179.56521739130432</v>
      </c>
      <c r="I47" s="691">
        <f t="shared" si="9"/>
        <v>179.56521739130432</v>
      </c>
      <c r="J47" s="691">
        <f t="shared" si="9"/>
        <v>179.56521739130432</v>
      </c>
      <c r="K47" s="691">
        <f t="shared" si="9"/>
        <v>179.56521739130432</v>
      </c>
      <c r="L47" s="691">
        <f t="shared" si="9"/>
        <v>179.56521739130432</v>
      </c>
      <c r="M47" s="691">
        <f t="shared" si="9"/>
        <v>179.56521739130432</v>
      </c>
      <c r="N47" s="691">
        <f t="shared" si="9"/>
        <v>179.56521739130432</v>
      </c>
      <c r="O47" s="691">
        <f t="shared" si="9"/>
        <v>179.56521739130432</v>
      </c>
      <c r="P47" s="691">
        <f t="shared" si="9"/>
        <v>179.56521739130432</v>
      </c>
      <c r="Q47" s="691">
        <f t="shared" si="9"/>
        <v>179.56521739130432</v>
      </c>
      <c r="R47" s="691">
        <f t="shared" si="9"/>
        <v>179.56521739130432</v>
      </c>
      <c r="S47" s="691">
        <f t="shared" si="9"/>
        <v>179.56521739130432</v>
      </c>
      <c r="T47" s="691">
        <f t="shared" si="9"/>
        <v>179.56521739130432</v>
      </c>
      <c r="U47" s="691">
        <f t="shared" si="9"/>
        <v>179.56521739130432</v>
      </c>
      <c r="V47" s="691">
        <f t="shared" si="9"/>
        <v>179.56521739130432</v>
      </c>
      <c r="W47" s="691">
        <f t="shared" si="9"/>
        <v>179.56521739130432</v>
      </c>
      <c r="X47" s="691">
        <f t="shared" si="9"/>
        <v>179.56521739130432</v>
      </c>
      <c r="Y47" s="691">
        <f t="shared" si="9"/>
        <v>179.56521739130432</v>
      </c>
      <c r="Z47" s="691">
        <f t="shared" si="9"/>
        <v>179.56521739130432</v>
      </c>
      <c r="AA47" s="691">
        <f t="shared" si="9"/>
        <v>179.56521739130432</v>
      </c>
      <c r="AB47" s="691">
        <f t="shared" si="9"/>
        <v>179.56521739130432</v>
      </c>
      <c r="AC47" s="691">
        <f t="shared" si="9"/>
        <v>0</v>
      </c>
      <c r="AD47" s="691">
        <f t="shared" si="9"/>
        <v>0</v>
      </c>
      <c r="AE47" s="691">
        <f t="shared" si="9"/>
        <v>0</v>
      </c>
      <c r="AF47" s="691">
        <f t="shared" si="9"/>
        <v>0</v>
      </c>
      <c r="AG47" s="691">
        <f t="shared" si="9"/>
        <v>0</v>
      </c>
      <c r="AH47" s="691">
        <f t="shared" si="9"/>
        <v>0</v>
      </c>
      <c r="AI47" s="691">
        <f t="shared" si="9"/>
        <v>0</v>
      </c>
      <c r="AJ47" s="691">
        <f t="shared" si="9"/>
        <v>0</v>
      </c>
      <c r="AK47" s="691">
        <f t="shared" si="9"/>
        <v>0</v>
      </c>
      <c r="AL47" s="691">
        <f t="shared" si="9"/>
        <v>0</v>
      </c>
      <c r="AM47" s="691">
        <f t="shared" si="9"/>
        <v>0</v>
      </c>
      <c r="AN47" s="691">
        <f t="shared" si="9"/>
        <v>0</v>
      </c>
      <c r="AO47" s="691">
        <f t="shared" si="9"/>
        <v>0</v>
      </c>
      <c r="AP47" s="691">
        <f t="shared" si="9"/>
        <v>0</v>
      </c>
      <c r="AQ47" s="691">
        <f t="shared" si="9"/>
        <v>0</v>
      </c>
      <c r="AR47" s="691">
        <f t="shared" si="9"/>
        <v>0</v>
      </c>
      <c r="AS47" s="691">
        <f t="shared" si="9"/>
        <v>0</v>
      </c>
      <c r="AT47" s="691">
        <f t="shared" si="9"/>
        <v>0</v>
      </c>
      <c r="AU47" s="691">
        <f t="shared" si="9"/>
        <v>0</v>
      </c>
      <c r="AV47" s="692">
        <f t="shared" si="9"/>
        <v>0</v>
      </c>
    </row>
    <row r="48" spans="1:48" s="15" customFormat="1" ht="13.5" outlineLevel="1" x14ac:dyDescent="0.25">
      <c r="B48" s="684" t="s">
        <v>1630</v>
      </c>
      <c r="C48" s="690" t="s">
        <v>1573</v>
      </c>
      <c r="D48" s="691">
        <f>(D43*$F$12+D44*$F$13+D45*$F$14)/1000</f>
        <v>0</v>
      </c>
      <c r="E48" s="691">
        <f t="shared" ref="E48:F48" si="10">(E43*$F$12+E44*$F$13+E45*$F$14)/1000</f>
        <v>0</v>
      </c>
      <c r="F48" s="691">
        <f t="shared" si="10"/>
        <v>5.2173913043478253</v>
      </c>
      <c r="G48" s="691">
        <f>(G43*$F$12+G44*$F$13+G45*$F$14)/1000</f>
        <v>10.434782608695651</v>
      </c>
      <c r="H48" s="691">
        <f t="shared" ref="H48:AV48" si="11">(H43*$F$12+H44*$F$13+H45*$F$14)/1000</f>
        <v>15.652173913043477</v>
      </c>
      <c r="I48" s="691">
        <f t="shared" si="11"/>
        <v>20.869565217391301</v>
      </c>
      <c r="J48" s="691">
        <f t="shared" si="11"/>
        <v>26.086956521739129</v>
      </c>
      <c r="K48" s="691">
        <f t="shared" si="11"/>
        <v>31.304347826086957</v>
      </c>
      <c r="L48" s="691">
        <f t="shared" si="11"/>
        <v>36.521739130434788</v>
      </c>
      <c r="M48" s="691">
        <f t="shared" si="11"/>
        <v>41.739130434782609</v>
      </c>
      <c r="N48" s="691">
        <f t="shared" si="11"/>
        <v>46.956521739130444</v>
      </c>
      <c r="O48" s="691">
        <f t="shared" si="11"/>
        <v>52.173913043478265</v>
      </c>
      <c r="P48" s="691">
        <f t="shared" si="11"/>
        <v>57.3913043478261</v>
      </c>
      <c r="Q48" s="691">
        <f t="shared" si="11"/>
        <v>62.608695652173921</v>
      </c>
      <c r="R48" s="691">
        <f t="shared" si="11"/>
        <v>67.826086956521763</v>
      </c>
      <c r="S48" s="691">
        <f t="shared" si="11"/>
        <v>73.043478260869577</v>
      </c>
      <c r="T48" s="691">
        <f t="shared" si="11"/>
        <v>78.260869565217405</v>
      </c>
      <c r="U48" s="691">
        <f t="shared" si="11"/>
        <v>83.478260869565219</v>
      </c>
      <c r="V48" s="691">
        <f t="shared" si="11"/>
        <v>88.695652173913075</v>
      </c>
      <c r="W48" s="691">
        <f t="shared" si="11"/>
        <v>93.913043478260875</v>
      </c>
      <c r="X48" s="691">
        <f t="shared" si="11"/>
        <v>99.130434782608688</v>
      </c>
      <c r="Y48" s="691">
        <f t="shared" si="11"/>
        <v>104.3478260869565</v>
      </c>
      <c r="Z48" s="691">
        <f t="shared" si="11"/>
        <v>109.56521739130436</v>
      </c>
      <c r="AA48" s="691">
        <f t="shared" si="11"/>
        <v>114.78260869565216</v>
      </c>
      <c r="AB48" s="691">
        <f t="shared" si="11"/>
        <v>119.99999999999997</v>
      </c>
      <c r="AC48" s="691">
        <f t="shared" si="11"/>
        <v>119.99999999999997</v>
      </c>
      <c r="AD48" s="691">
        <f t="shared" si="11"/>
        <v>119.99999999999997</v>
      </c>
      <c r="AE48" s="691">
        <f t="shared" si="11"/>
        <v>119.99999999999997</v>
      </c>
      <c r="AF48" s="691">
        <f t="shared" si="11"/>
        <v>119.99999999999997</v>
      </c>
      <c r="AG48" s="691">
        <f t="shared" si="11"/>
        <v>119.99999999999997</v>
      </c>
      <c r="AH48" s="691">
        <f t="shared" si="11"/>
        <v>119.99999999999997</v>
      </c>
      <c r="AI48" s="691">
        <f t="shared" si="11"/>
        <v>119.99999999999997</v>
      </c>
      <c r="AJ48" s="691">
        <f t="shared" si="11"/>
        <v>119.99999999999997</v>
      </c>
      <c r="AK48" s="691">
        <f t="shared" si="11"/>
        <v>119.99999999999997</v>
      </c>
      <c r="AL48" s="691">
        <f t="shared" si="11"/>
        <v>119.99999999999997</v>
      </c>
      <c r="AM48" s="691">
        <f t="shared" si="11"/>
        <v>119.99999999999997</v>
      </c>
      <c r="AN48" s="691">
        <f t="shared" si="11"/>
        <v>119.99999999999997</v>
      </c>
      <c r="AO48" s="691">
        <f t="shared" si="11"/>
        <v>119.99999999999997</v>
      </c>
      <c r="AP48" s="691">
        <f t="shared" si="11"/>
        <v>119.99999999999997</v>
      </c>
      <c r="AQ48" s="691">
        <f t="shared" si="11"/>
        <v>119.99999999999997</v>
      </c>
      <c r="AR48" s="691">
        <f t="shared" si="11"/>
        <v>119.99999999999997</v>
      </c>
      <c r="AS48" s="691">
        <f t="shared" si="11"/>
        <v>119.99999999999997</v>
      </c>
      <c r="AT48" s="691">
        <f t="shared" si="11"/>
        <v>119.99999999999997</v>
      </c>
      <c r="AU48" s="691">
        <f t="shared" si="11"/>
        <v>119.99999999999997</v>
      </c>
      <c r="AV48" s="692">
        <f t="shared" si="11"/>
        <v>119.99999999999997</v>
      </c>
    </row>
    <row r="49" spans="2:48" s="15" customFormat="1" ht="13.5" outlineLevel="1" x14ac:dyDescent="0.25">
      <c r="B49" s="689" t="s">
        <v>1114</v>
      </c>
      <c r="C49" s="693" t="s">
        <v>1573</v>
      </c>
      <c r="D49" s="694">
        <f>D48+D47</f>
        <v>0</v>
      </c>
      <c r="E49" s="694">
        <f t="shared" ref="E49:AV49" si="12">E48+E47</f>
        <v>0</v>
      </c>
      <c r="F49" s="694">
        <f t="shared" si="12"/>
        <v>184.78260869565213</v>
      </c>
      <c r="G49" s="694">
        <f t="shared" si="12"/>
        <v>189.99999999999997</v>
      </c>
      <c r="H49" s="694">
        <f t="shared" si="12"/>
        <v>195.21739130434779</v>
      </c>
      <c r="I49" s="694">
        <f t="shared" si="12"/>
        <v>200.43478260869563</v>
      </c>
      <c r="J49" s="694">
        <f t="shared" si="12"/>
        <v>205.65217391304344</v>
      </c>
      <c r="K49" s="694">
        <f t="shared" si="12"/>
        <v>210.86956521739128</v>
      </c>
      <c r="L49" s="694">
        <f t="shared" si="12"/>
        <v>216.0869565217391</v>
      </c>
      <c r="M49" s="694">
        <f t="shared" si="12"/>
        <v>221.30434782608694</v>
      </c>
      <c r="N49" s="694">
        <f t="shared" si="12"/>
        <v>226.52173913043475</v>
      </c>
      <c r="O49" s="694">
        <f t="shared" si="12"/>
        <v>231.73913043478257</v>
      </c>
      <c r="P49" s="694">
        <f t="shared" si="12"/>
        <v>236.95652173913041</v>
      </c>
      <c r="Q49" s="694">
        <f t="shared" si="12"/>
        <v>242.17391304347825</v>
      </c>
      <c r="R49" s="694">
        <f t="shared" si="12"/>
        <v>247.39130434782606</v>
      </c>
      <c r="S49" s="694">
        <f t="shared" si="12"/>
        <v>252.60869565217388</v>
      </c>
      <c r="T49" s="694">
        <f t="shared" si="12"/>
        <v>257.82608695652175</v>
      </c>
      <c r="U49" s="694">
        <f t="shared" si="12"/>
        <v>263.04347826086951</v>
      </c>
      <c r="V49" s="694">
        <f t="shared" si="12"/>
        <v>268.26086956521738</v>
      </c>
      <c r="W49" s="694">
        <f t="shared" si="12"/>
        <v>273.47826086956519</v>
      </c>
      <c r="X49" s="694">
        <f t="shared" si="12"/>
        <v>278.695652173913</v>
      </c>
      <c r="Y49" s="694">
        <f t="shared" si="12"/>
        <v>283.91304347826082</v>
      </c>
      <c r="Z49" s="694">
        <f t="shared" si="12"/>
        <v>289.13043478260869</v>
      </c>
      <c r="AA49" s="694">
        <f t="shared" si="12"/>
        <v>294.3478260869565</v>
      </c>
      <c r="AB49" s="694">
        <f t="shared" si="12"/>
        <v>299.56521739130426</v>
      </c>
      <c r="AC49" s="694">
        <f t="shared" si="12"/>
        <v>119.99999999999997</v>
      </c>
      <c r="AD49" s="694">
        <f t="shared" si="12"/>
        <v>119.99999999999997</v>
      </c>
      <c r="AE49" s="694">
        <f t="shared" si="12"/>
        <v>119.99999999999997</v>
      </c>
      <c r="AF49" s="694">
        <f t="shared" si="12"/>
        <v>119.99999999999997</v>
      </c>
      <c r="AG49" s="694">
        <f t="shared" si="12"/>
        <v>119.99999999999997</v>
      </c>
      <c r="AH49" s="694">
        <f t="shared" si="12"/>
        <v>119.99999999999997</v>
      </c>
      <c r="AI49" s="694">
        <f t="shared" si="12"/>
        <v>119.99999999999997</v>
      </c>
      <c r="AJ49" s="694">
        <f t="shared" si="12"/>
        <v>119.99999999999997</v>
      </c>
      <c r="AK49" s="694">
        <f t="shared" si="12"/>
        <v>119.99999999999997</v>
      </c>
      <c r="AL49" s="694">
        <f t="shared" si="12"/>
        <v>119.99999999999997</v>
      </c>
      <c r="AM49" s="694">
        <f t="shared" si="12"/>
        <v>119.99999999999997</v>
      </c>
      <c r="AN49" s="694">
        <f t="shared" si="12"/>
        <v>119.99999999999997</v>
      </c>
      <c r="AO49" s="694">
        <f t="shared" si="12"/>
        <v>119.99999999999997</v>
      </c>
      <c r="AP49" s="694">
        <f t="shared" si="12"/>
        <v>119.99999999999997</v>
      </c>
      <c r="AQ49" s="694">
        <f t="shared" si="12"/>
        <v>119.99999999999997</v>
      </c>
      <c r="AR49" s="694">
        <f t="shared" si="12"/>
        <v>119.99999999999997</v>
      </c>
      <c r="AS49" s="694">
        <f t="shared" si="12"/>
        <v>119.99999999999997</v>
      </c>
      <c r="AT49" s="694">
        <f t="shared" si="12"/>
        <v>119.99999999999997</v>
      </c>
      <c r="AU49" s="694">
        <f t="shared" si="12"/>
        <v>119.99999999999997</v>
      </c>
      <c r="AV49" s="695">
        <f t="shared" si="12"/>
        <v>119.99999999999997</v>
      </c>
    </row>
    <row r="50" spans="2:48" s="15" customFormat="1" ht="13.5" outlineLevel="1" x14ac:dyDescent="0.25">
      <c r="B50" s="671" t="s">
        <v>1631</v>
      </c>
      <c r="C50" s="679" t="s">
        <v>1632</v>
      </c>
      <c r="D50" s="682">
        <f>D43*$D$12+D44*$D$13+D45*$D$14</f>
        <v>0</v>
      </c>
      <c r="E50" s="682">
        <f t="shared" ref="E50:AV50" si="13">E43*$D$12+E44*$D$13+E45*$D$14</f>
        <v>0</v>
      </c>
      <c r="F50" s="682">
        <f t="shared" si="13"/>
        <v>7.5260869565217385</v>
      </c>
      <c r="G50" s="682">
        <f t="shared" si="13"/>
        <v>15.052173913043477</v>
      </c>
      <c r="H50" s="682">
        <f t="shared" si="13"/>
        <v>22.578260869565213</v>
      </c>
      <c r="I50" s="682">
        <f t="shared" si="13"/>
        <v>30.104347826086954</v>
      </c>
      <c r="J50" s="682">
        <f t="shared" si="13"/>
        <v>37.630434782608695</v>
      </c>
      <c r="K50" s="682">
        <f t="shared" si="13"/>
        <v>45.156521739130433</v>
      </c>
      <c r="L50" s="682">
        <f t="shared" si="13"/>
        <v>52.682608695652185</v>
      </c>
      <c r="M50" s="682">
        <f t="shared" si="13"/>
        <v>60.208695652173915</v>
      </c>
      <c r="N50" s="682">
        <f t="shared" si="13"/>
        <v>67.734782608695667</v>
      </c>
      <c r="O50" s="682">
        <f t="shared" si="13"/>
        <v>75.260869565217405</v>
      </c>
      <c r="P50" s="682">
        <f t="shared" si="13"/>
        <v>82.786956521739143</v>
      </c>
      <c r="Q50" s="682">
        <f t="shared" si="13"/>
        <v>90.31304347826088</v>
      </c>
      <c r="R50" s="682">
        <f t="shared" si="13"/>
        <v>97.839130434782618</v>
      </c>
      <c r="S50" s="682">
        <f t="shared" si="13"/>
        <v>105.36521739130437</v>
      </c>
      <c r="T50" s="682">
        <f t="shared" si="13"/>
        <v>112.89130434782611</v>
      </c>
      <c r="U50" s="682">
        <f t="shared" si="13"/>
        <v>120.41739130434783</v>
      </c>
      <c r="V50" s="682">
        <f t="shared" si="13"/>
        <v>127.94347826086957</v>
      </c>
      <c r="W50" s="682">
        <f t="shared" si="13"/>
        <v>135.46956521739131</v>
      </c>
      <c r="X50" s="682">
        <f t="shared" si="13"/>
        <v>142.99565217391304</v>
      </c>
      <c r="Y50" s="682">
        <f t="shared" si="13"/>
        <v>150.52173913043475</v>
      </c>
      <c r="Z50" s="682">
        <f t="shared" si="13"/>
        <v>158.04782608695649</v>
      </c>
      <c r="AA50" s="682">
        <f t="shared" si="13"/>
        <v>165.57391304347823</v>
      </c>
      <c r="AB50" s="682">
        <f t="shared" si="13"/>
        <v>173.09999999999994</v>
      </c>
      <c r="AC50" s="682">
        <f t="shared" si="13"/>
        <v>173.09999999999994</v>
      </c>
      <c r="AD50" s="682">
        <f t="shared" si="13"/>
        <v>173.09999999999994</v>
      </c>
      <c r="AE50" s="682">
        <f t="shared" si="13"/>
        <v>173.09999999999994</v>
      </c>
      <c r="AF50" s="682">
        <f t="shared" si="13"/>
        <v>173.09999999999994</v>
      </c>
      <c r="AG50" s="682">
        <f t="shared" si="13"/>
        <v>173.09999999999994</v>
      </c>
      <c r="AH50" s="682">
        <f t="shared" si="13"/>
        <v>173.09999999999994</v>
      </c>
      <c r="AI50" s="682">
        <f t="shared" si="13"/>
        <v>173.09999999999994</v>
      </c>
      <c r="AJ50" s="682">
        <f t="shared" si="13"/>
        <v>173.09999999999994</v>
      </c>
      <c r="AK50" s="682">
        <f t="shared" si="13"/>
        <v>173.09999999999994</v>
      </c>
      <c r="AL50" s="682">
        <f t="shared" si="13"/>
        <v>173.09999999999994</v>
      </c>
      <c r="AM50" s="682">
        <f t="shared" si="13"/>
        <v>173.09999999999994</v>
      </c>
      <c r="AN50" s="682">
        <f t="shared" si="13"/>
        <v>173.09999999999994</v>
      </c>
      <c r="AO50" s="682">
        <f t="shared" si="13"/>
        <v>173.09999999999994</v>
      </c>
      <c r="AP50" s="682">
        <f t="shared" si="13"/>
        <v>173.09999999999994</v>
      </c>
      <c r="AQ50" s="682">
        <f t="shared" si="13"/>
        <v>173.09999999999994</v>
      </c>
      <c r="AR50" s="682">
        <f t="shared" si="13"/>
        <v>173.09999999999994</v>
      </c>
      <c r="AS50" s="682">
        <f t="shared" si="13"/>
        <v>173.09999999999994</v>
      </c>
      <c r="AT50" s="682">
        <f t="shared" si="13"/>
        <v>173.09999999999994</v>
      </c>
      <c r="AU50" s="682">
        <f t="shared" si="13"/>
        <v>173.09999999999994</v>
      </c>
      <c r="AV50" s="428">
        <f t="shared" si="13"/>
        <v>173.09999999999994</v>
      </c>
    </row>
    <row r="51" spans="2:48" s="39" customFormat="1" ht="13.5" outlineLevel="1" x14ac:dyDescent="0.25">
      <c r="B51" s="678" t="s">
        <v>1633</v>
      </c>
      <c r="C51" s="681" t="s">
        <v>853</v>
      </c>
      <c r="D51" s="683">
        <f>D50*$C$16</f>
        <v>0</v>
      </c>
      <c r="E51" s="683">
        <f>E50*$C$16</f>
        <v>0</v>
      </c>
      <c r="F51" s="683">
        <f t="shared" ref="F51:AV51" si="14">F50*$C$16</f>
        <v>27.09391304347826</v>
      </c>
      <c r="G51" s="683">
        <f t="shared" si="14"/>
        <v>54.18782608695652</v>
      </c>
      <c r="H51" s="683">
        <f t="shared" si="14"/>
        <v>81.281739130434772</v>
      </c>
      <c r="I51" s="683">
        <f t="shared" si="14"/>
        <v>108.37565217391304</v>
      </c>
      <c r="J51" s="683">
        <f t="shared" si="14"/>
        <v>135.46956521739131</v>
      </c>
      <c r="K51" s="683">
        <f t="shared" si="14"/>
        <v>162.56347826086957</v>
      </c>
      <c r="L51" s="683">
        <f t="shared" si="14"/>
        <v>189.65739130434787</v>
      </c>
      <c r="M51" s="683">
        <f t="shared" si="14"/>
        <v>216.75130434782611</v>
      </c>
      <c r="N51" s="683">
        <f t="shared" si="14"/>
        <v>243.8452173913044</v>
      </c>
      <c r="O51" s="683">
        <f t="shared" si="14"/>
        <v>270.93913043478267</v>
      </c>
      <c r="P51" s="683">
        <f t="shared" si="14"/>
        <v>298.03304347826094</v>
      </c>
      <c r="Q51" s="683">
        <f t="shared" si="14"/>
        <v>325.1269565217392</v>
      </c>
      <c r="R51" s="683">
        <f t="shared" si="14"/>
        <v>352.22086956521741</v>
      </c>
      <c r="S51" s="683">
        <f t="shared" si="14"/>
        <v>379.31478260869574</v>
      </c>
      <c r="T51" s="683">
        <f t="shared" si="14"/>
        <v>406.408695652174</v>
      </c>
      <c r="U51" s="683">
        <f t="shared" si="14"/>
        <v>433.50260869565221</v>
      </c>
      <c r="V51" s="683">
        <f t="shared" si="14"/>
        <v>460.59652173913048</v>
      </c>
      <c r="W51" s="683">
        <f t="shared" si="14"/>
        <v>487.69043478260869</v>
      </c>
      <c r="X51" s="683">
        <f t="shared" si="14"/>
        <v>514.78434782608701</v>
      </c>
      <c r="Y51" s="683">
        <f t="shared" si="14"/>
        <v>541.87826086956511</v>
      </c>
      <c r="Z51" s="683">
        <f t="shared" si="14"/>
        <v>568.97217391304343</v>
      </c>
      <c r="AA51" s="683">
        <f t="shared" si="14"/>
        <v>596.06608695652164</v>
      </c>
      <c r="AB51" s="683">
        <f t="shared" si="14"/>
        <v>623.15999999999974</v>
      </c>
      <c r="AC51" s="683">
        <f t="shared" si="14"/>
        <v>623.15999999999974</v>
      </c>
      <c r="AD51" s="683">
        <f t="shared" si="14"/>
        <v>623.15999999999974</v>
      </c>
      <c r="AE51" s="683">
        <f t="shared" si="14"/>
        <v>623.15999999999974</v>
      </c>
      <c r="AF51" s="683">
        <f t="shared" si="14"/>
        <v>623.15999999999974</v>
      </c>
      <c r="AG51" s="683">
        <f t="shared" si="14"/>
        <v>623.15999999999974</v>
      </c>
      <c r="AH51" s="683">
        <f t="shared" si="14"/>
        <v>623.15999999999974</v>
      </c>
      <c r="AI51" s="683">
        <f t="shared" si="14"/>
        <v>623.15999999999974</v>
      </c>
      <c r="AJ51" s="683">
        <f t="shared" si="14"/>
        <v>623.15999999999974</v>
      </c>
      <c r="AK51" s="683">
        <f t="shared" si="14"/>
        <v>623.15999999999974</v>
      </c>
      <c r="AL51" s="683">
        <f t="shared" si="14"/>
        <v>623.15999999999974</v>
      </c>
      <c r="AM51" s="683">
        <f t="shared" si="14"/>
        <v>623.15999999999974</v>
      </c>
      <c r="AN51" s="683">
        <f t="shared" si="14"/>
        <v>623.15999999999974</v>
      </c>
      <c r="AO51" s="683">
        <f t="shared" si="14"/>
        <v>623.15999999999974</v>
      </c>
      <c r="AP51" s="683">
        <f t="shared" si="14"/>
        <v>623.15999999999974</v>
      </c>
      <c r="AQ51" s="683">
        <f t="shared" si="14"/>
        <v>623.15999999999974</v>
      </c>
      <c r="AR51" s="683">
        <f t="shared" si="14"/>
        <v>623.15999999999974</v>
      </c>
      <c r="AS51" s="683">
        <f t="shared" si="14"/>
        <v>623.15999999999974</v>
      </c>
      <c r="AT51" s="683">
        <f t="shared" si="14"/>
        <v>623.15999999999974</v>
      </c>
      <c r="AU51" s="683">
        <f t="shared" si="14"/>
        <v>623.15999999999974</v>
      </c>
      <c r="AV51" s="429">
        <f t="shared" si="14"/>
        <v>623.15999999999974</v>
      </c>
    </row>
    <row r="52" spans="2:48" s="1" customFormat="1" x14ac:dyDescent="0.25">
      <c r="C52" s="9"/>
    </row>
    <row r="53" spans="2:48" s="1" customFormat="1" x14ac:dyDescent="0.25">
      <c r="C53" s="9"/>
    </row>
    <row r="54" spans="2:48" x14ac:dyDescent="0.25">
      <c r="C54" s="125"/>
    </row>
    <row r="55" spans="2:48" x14ac:dyDescent="0.25">
      <c r="C55" s="294"/>
      <c r="D55" s="127"/>
    </row>
    <row r="56" spans="2:48" x14ac:dyDescent="0.25">
      <c r="C56" s="294"/>
      <c r="D56" s="128"/>
    </row>
    <row r="57" spans="2:48" x14ac:dyDescent="0.25">
      <c r="C57" s="294"/>
      <c r="D57" s="128"/>
    </row>
    <row r="58" spans="2:48" x14ac:dyDescent="0.25">
      <c r="C58" s="129"/>
      <c r="D58" s="128"/>
    </row>
    <row r="59" spans="2:48" x14ac:dyDescent="0.25">
      <c r="D59" s="128"/>
    </row>
    <row r="60" spans="2:48" x14ac:dyDescent="0.25">
      <c r="D60" s="128"/>
    </row>
    <row r="61" spans="2:48" x14ac:dyDescent="0.25">
      <c r="D61" s="127"/>
    </row>
    <row r="62" spans="2:48" x14ac:dyDescent="0.25">
      <c r="D62" s="127"/>
    </row>
    <row r="63" spans="2:48" x14ac:dyDescent="0.25">
      <c r="D63" s="127"/>
    </row>
    <row r="64" spans="2:48" x14ac:dyDescent="0.25">
      <c r="D64" s="127"/>
    </row>
  </sheetData>
  <sheetProtection algorithmName="SHA-512" hashValue="TelAVtC7tjeTYA4pHSQsLhLdLtO7zQWWaG7uXkNef4IOnsIJP4bVNj7iq4wIZ/iQjCcF3cQ2ywsVM876DtPSPA==" saltValue="SbmF20wRh5D6BTsoHSrpOA==" spinCount="100000" sheet="1" objects="1" scenarios="1" selectLockedCells="1"/>
  <mergeCells count="2">
    <mergeCell ref="B3:F3"/>
    <mergeCell ref="G3:L3"/>
  </mergeCells>
  <conditionalFormatting sqref="C30:C32">
    <cfRule type="containsText" dxfId="8" priority="1" operator="containsText" text="Kõrge">
      <formula>NOT(ISERROR(SEARCH("Kõrge",C30)))</formula>
    </cfRule>
    <cfRule type="containsText" dxfId="7" priority="2" operator="containsText" text="Mõõdukas">
      <formula>NOT(ISERROR(SEARCH("Mõõdukas",C30)))</formula>
    </cfRule>
    <cfRule type="containsText" dxfId="6" priority="3" operator="containsText" text="Madal">
      <formula>NOT(ISERROR(SEARCH("Madal",C30)))</formula>
    </cfRule>
  </conditionalFormatting>
  <dataValidations count="3">
    <dataValidation type="list" allowBlank="1" showInputMessage="1" showErrorMessage="1" sqref="C30" xr:uid="{7D97EBBA-1601-4281-9D4D-575190245418}">
      <formula1>I30:I32</formula1>
    </dataValidation>
    <dataValidation type="list" allowBlank="1" showInputMessage="1" showErrorMessage="1" sqref="C31" xr:uid="{129F4518-1ABD-4106-964A-DF92EE1EE736}">
      <formula1>I30:I32</formula1>
    </dataValidation>
    <dataValidation type="list" allowBlank="1" showInputMessage="1" showErrorMessage="1" sqref="C32" xr:uid="{A1DD9B21-DD9F-4320-973F-606E2910B53D}">
      <formula1>I30:I32</formula1>
    </dataValidation>
  </dataValidations>
  <hyperlinks>
    <hyperlink ref="B1" location="MEETMED!A1" display="&lt;-MEETMETE NIMEKIRI" xr:uid="{10BF8182-D212-4714-9020-19D17B31AD00}"/>
    <hyperlink ref="H12" r:id="rId1" xr:uid="{6029B5FF-BC4C-460E-A628-5A2686E6D7D2}"/>
    <hyperlink ref="H15" r:id="rId2" xr:uid="{C3A97FF4-BFA2-4B1D-9C16-A180B127FF95}"/>
    <hyperlink ref="H14" r:id="rId3" xr:uid="{1A4CA027-1C94-46E6-B9F4-CF93ADA16717}"/>
  </hyperlinks>
  <pageMargins left="0.7" right="0.7" top="0.75" bottom="0.75" header="0.3" footer="0.3"/>
  <drawing r:id="rId4"/>
  <legacy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57388-0D2A-496F-8755-583A909685A6}">
  <sheetPr>
    <tabColor theme="7" tint="0.39997558519241921"/>
  </sheetPr>
  <dimension ref="A1:AV67"/>
  <sheetViews>
    <sheetView showGridLines="0" zoomScaleNormal="100" workbookViewId="0">
      <selection activeCell="C8" sqref="C8"/>
    </sheetView>
  </sheetViews>
  <sheetFormatPr defaultColWidth="8.85546875" defaultRowHeight="15" outlineLevelRow="1" x14ac:dyDescent="0.25"/>
  <cols>
    <col min="1" max="1" width="2.28515625" customWidth="1"/>
    <col min="2" max="2" width="48.140625" customWidth="1"/>
    <col min="3" max="4" width="11.285156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61.5" customHeight="1" x14ac:dyDescent="0.25">
      <c r="A3" s="260" t="s">
        <v>304</v>
      </c>
      <c r="B3" s="700" t="str">
        <f>"MEEDE: "&amp;VLOOKUP(A3,MEETMED!B:G,2,FALSE)</f>
        <v>MEEDE: Ruumiloome</v>
      </c>
      <c r="C3" s="990" t="str">
        <f>"TEGEVUS: "&amp;VLOOKUP(A3,MEETMED!B:G,3,FALSE)</f>
        <v>TEGEVUS: Linna tihendamine ÜRO säästva arengu eesmärkidest lähtuvalt vähemalt 12 000 in/km2 kohta linnakeskustes ning 15-minuti linna printsiipi silmas pidades. Lubada tihendada linnaruumi eriti keskustes ja ÜT lähedal, nt parklate ja endiste tööstusalade asemele (pigem mitte nt hoovidesse). DP-de kehtestamine eelisjärjekorras selle põhjal</v>
      </c>
      <c r="D3" s="990"/>
      <c r="E3" s="990"/>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2"/>
    </row>
    <row r="7" spans="1:27" s="1" customFormat="1" ht="5.25" customHeight="1" outlineLevel="1" x14ac:dyDescent="0.25">
      <c r="D7" s="2"/>
    </row>
    <row r="8" spans="1:27" s="1" customFormat="1" outlineLevel="1" x14ac:dyDescent="0.25">
      <c r="B8" s="802" t="s">
        <v>862</v>
      </c>
      <c r="C8" s="902">
        <v>2028</v>
      </c>
      <c r="D8" s="7" t="s">
        <v>863</v>
      </c>
      <c r="E8" s="7"/>
      <c r="F8" s="7"/>
      <c r="G8" s="7"/>
      <c r="H8" s="7"/>
      <c r="I8" s="7"/>
      <c r="J8" s="7"/>
      <c r="L8" s="277" t="s">
        <v>876</v>
      </c>
    </row>
    <row r="9" spans="1:27" s="1" customFormat="1" outlineLevel="1" x14ac:dyDescent="0.25">
      <c r="B9" s="802" t="s">
        <v>864</v>
      </c>
      <c r="C9" s="902">
        <v>2050</v>
      </c>
      <c r="D9" s="7" t="s">
        <v>863</v>
      </c>
      <c r="E9" s="7"/>
      <c r="F9" s="7"/>
      <c r="G9" s="7"/>
      <c r="H9" s="7"/>
      <c r="I9" s="7"/>
      <c r="J9" s="7"/>
      <c r="L9" s="893" t="s">
        <v>1670</v>
      </c>
      <c r="M9" s="305" t="s">
        <v>877</v>
      </c>
    </row>
    <row r="10" spans="1:27" s="1" customFormat="1" outlineLevel="1" x14ac:dyDescent="0.25">
      <c r="B10" s="802" t="s">
        <v>865</v>
      </c>
      <c r="C10" s="847">
        <f>C9-C8+1</f>
        <v>23</v>
      </c>
      <c r="D10" s="7" t="s">
        <v>863</v>
      </c>
      <c r="E10" s="7"/>
      <c r="F10" s="7"/>
      <c r="G10" s="7"/>
      <c r="H10" s="7"/>
      <c r="I10" s="7"/>
      <c r="J10" s="7"/>
      <c r="L10" s="892" t="s">
        <v>878</v>
      </c>
      <c r="M10" s="305" t="s">
        <v>1669</v>
      </c>
    </row>
    <row r="11" spans="1:27" outlineLevel="1" x14ac:dyDescent="0.25">
      <c r="B11" s="817" t="s">
        <v>764</v>
      </c>
      <c r="C11" s="902">
        <v>158</v>
      </c>
      <c r="D11" s="7" t="s">
        <v>1634</v>
      </c>
      <c r="E11" s="7"/>
      <c r="F11" s="324" t="s">
        <v>1618</v>
      </c>
      <c r="G11" s="7"/>
      <c r="H11" s="7"/>
      <c r="I11" s="7"/>
      <c r="J11" s="348"/>
      <c r="L11" s="892" t="s">
        <v>1671</v>
      </c>
      <c r="M11" s="228">
        <v>1234</v>
      </c>
      <c r="N11" s="1"/>
      <c r="O11" s="1"/>
      <c r="P11" s="1"/>
      <c r="Q11" s="1"/>
      <c r="R11" s="1"/>
    </row>
    <row r="12" spans="1:27" outlineLevel="1" x14ac:dyDescent="0.25">
      <c r="B12" s="817" t="s">
        <v>1635</v>
      </c>
      <c r="C12" s="913">
        <v>40</v>
      </c>
      <c r="D12" s="7" t="s">
        <v>1634</v>
      </c>
      <c r="E12" s="7"/>
      <c r="F12" s="7"/>
      <c r="G12" s="7"/>
      <c r="H12" s="7"/>
      <c r="I12" s="7"/>
      <c r="J12" s="7"/>
      <c r="M12" s="1"/>
      <c r="N12" s="1"/>
      <c r="O12" s="1"/>
      <c r="P12" s="1"/>
      <c r="Q12" s="1"/>
      <c r="R12" s="1"/>
    </row>
    <row r="13" spans="1:27" outlineLevel="1" x14ac:dyDescent="0.25">
      <c r="B13" s="817" t="s">
        <v>1636</v>
      </c>
      <c r="C13" s="853">
        <f>450000/(C11-C12)</f>
        <v>3813.5593220338983</v>
      </c>
      <c r="D13" s="7" t="s">
        <v>1637</v>
      </c>
      <c r="E13" s="7"/>
      <c r="F13" s="7"/>
      <c r="G13" s="7"/>
      <c r="H13" s="7"/>
      <c r="I13" s="7"/>
      <c r="J13" s="7"/>
      <c r="K13" s="7"/>
      <c r="L13" s="7"/>
      <c r="M13" s="1"/>
      <c r="N13" s="1"/>
      <c r="O13" s="1"/>
      <c r="P13" s="1"/>
      <c r="Q13" s="1"/>
      <c r="R13" s="1"/>
    </row>
    <row r="14" spans="1:27" outlineLevel="1" x14ac:dyDescent="0.25">
      <c r="B14" s="817" t="s">
        <v>1638</v>
      </c>
      <c r="C14" s="903">
        <v>5000</v>
      </c>
      <c r="D14" s="7"/>
      <c r="E14" s="7"/>
      <c r="F14" s="7" t="s">
        <v>1639</v>
      </c>
      <c r="G14" s="7"/>
      <c r="H14" s="7"/>
      <c r="I14" s="7"/>
      <c r="J14" s="7"/>
      <c r="K14" s="7"/>
      <c r="L14" s="7"/>
      <c r="M14" s="1"/>
      <c r="N14" s="1"/>
      <c r="O14" s="1"/>
      <c r="P14" s="1"/>
      <c r="Q14" s="1"/>
      <c r="R14" s="1"/>
    </row>
    <row r="15" spans="1:27" outlineLevel="1" x14ac:dyDescent="0.25">
      <c r="B15" s="817" t="s">
        <v>1640</v>
      </c>
      <c r="C15" s="850">
        <f>C14/C13-1</f>
        <v>0.31111111111111112</v>
      </c>
      <c r="D15" s="7"/>
      <c r="E15" s="7"/>
      <c r="F15" s="7"/>
      <c r="G15" s="7"/>
      <c r="H15" s="7"/>
      <c r="I15" s="7"/>
      <c r="J15" s="7"/>
      <c r="K15" s="7"/>
      <c r="L15" s="7"/>
      <c r="M15" s="1"/>
      <c r="N15" s="1"/>
      <c r="O15" s="1"/>
      <c r="P15" s="1"/>
      <c r="Q15" s="1"/>
      <c r="R15" s="1"/>
    </row>
    <row r="16" spans="1:27" outlineLevel="1" x14ac:dyDescent="0.25">
      <c r="B16" s="678" t="s">
        <v>1200</v>
      </c>
      <c r="C16" s="850"/>
      <c r="D16" s="7"/>
      <c r="E16" s="7"/>
      <c r="F16" s="7"/>
      <c r="G16" s="7"/>
      <c r="H16" s="7"/>
      <c r="I16" s="7"/>
      <c r="J16" s="7"/>
      <c r="K16" s="7"/>
      <c r="L16" s="7"/>
      <c r="M16" s="1"/>
      <c r="N16" s="1"/>
      <c r="O16" s="1"/>
      <c r="P16" s="1"/>
      <c r="Q16" s="1"/>
      <c r="R16" s="1"/>
    </row>
    <row r="17" spans="1:34" outlineLevel="1" x14ac:dyDescent="0.25">
      <c r="B17" s="817" t="s">
        <v>1641</v>
      </c>
      <c r="C17" s="906">
        <f>C15/0.2*0.1</f>
        <v>0.15555555555555556</v>
      </c>
      <c r="D17" s="306"/>
      <c r="E17" s="306"/>
      <c r="F17" s="7" t="s">
        <v>1642</v>
      </c>
      <c r="G17" s="7"/>
      <c r="H17" s="7"/>
      <c r="I17" s="7"/>
      <c r="J17" s="7"/>
      <c r="K17" s="7"/>
      <c r="L17" s="7"/>
      <c r="M17" s="1"/>
      <c r="N17" s="1"/>
      <c r="O17" s="1"/>
      <c r="P17" s="1"/>
      <c r="Q17" s="1"/>
      <c r="R17" s="1"/>
    </row>
    <row r="18" spans="1:34" outlineLevel="1" x14ac:dyDescent="0.25">
      <c r="B18" s="802" t="s">
        <v>1217</v>
      </c>
      <c r="C18" s="905">
        <v>1.5</v>
      </c>
      <c r="D18" s="7" t="s">
        <v>1218</v>
      </c>
      <c r="E18" s="306"/>
      <c r="F18" s="7"/>
      <c r="G18" s="7"/>
      <c r="H18" s="7"/>
      <c r="I18" s="7"/>
      <c r="J18" s="7"/>
      <c r="K18" s="7"/>
      <c r="L18" s="7"/>
      <c r="M18" s="1"/>
      <c r="N18" s="1"/>
      <c r="O18" s="1"/>
      <c r="P18" s="1"/>
      <c r="Q18" s="1"/>
      <c r="R18" s="1"/>
    </row>
    <row r="19" spans="1:34" outlineLevel="1" x14ac:dyDescent="0.25">
      <c r="B19" s="802" t="s">
        <v>1275</v>
      </c>
      <c r="C19" s="905">
        <v>0.2</v>
      </c>
      <c r="D19" s="7" t="s">
        <v>1220</v>
      </c>
      <c r="E19" s="306"/>
      <c r="F19" s="354"/>
      <c r="G19" s="7"/>
      <c r="H19" s="7"/>
      <c r="I19" s="7"/>
      <c r="J19" s="7"/>
      <c r="K19" s="7"/>
      <c r="L19" s="7"/>
      <c r="M19" s="1"/>
      <c r="N19" s="1"/>
      <c r="O19" s="1"/>
      <c r="P19" s="1"/>
      <c r="Q19" s="1"/>
      <c r="R19" s="1"/>
    </row>
    <row r="20" spans="1:34" outlineLevel="1" x14ac:dyDescent="0.25">
      <c r="B20" s="7" t="s">
        <v>1222</v>
      </c>
      <c r="C20" s="914">
        <v>0.5</v>
      </c>
      <c r="D20" s="7" t="s">
        <v>1223</v>
      </c>
      <c r="E20" s="306"/>
      <c r="F20" s="7"/>
      <c r="G20" s="7"/>
      <c r="H20" s="7"/>
      <c r="I20" s="7"/>
      <c r="J20" s="7"/>
      <c r="K20" s="7"/>
      <c r="L20" s="7"/>
      <c r="M20" s="1"/>
      <c r="N20" s="1"/>
      <c r="O20" s="1"/>
      <c r="P20" s="1"/>
      <c r="Q20" s="1"/>
      <c r="R20" s="1"/>
    </row>
    <row r="21" spans="1:34" x14ac:dyDescent="0.25">
      <c r="B21" s="213"/>
      <c r="C21" s="345"/>
      <c r="D21" s="306"/>
      <c r="E21" s="306"/>
      <c r="F21" s="7"/>
      <c r="G21" s="7"/>
      <c r="H21" s="7"/>
      <c r="I21" s="7"/>
      <c r="J21" s="7"/>
      <c r="K21" s="7"/>
      <c r="L21" s="7"/>
      <c r="M21" s="1"/>
      <c r="N21" s="1"/>
      <c r="O21" s="1"/>
      <c r="P21" s="1"/>
      <c r="Q21" s="1"/>
      <c r="R21" s="1"/>
    </row>
    <row r="22" spans="1:34" x14ac:dyDescent="0.25">
      <c r="A22" s="1"/>
      <c r="B22" s="659" t="s">
        <v>895</v>
      </c>
      <c r="C22" s="659"/>
      <c r="D22" s="659"/>
      <c r="E22" s="659"/>
      <c r="F22" s="659"/>
      <c r="G22" s="659"/>
      <c r="H22" s="659"/>
      <c r="I22" s="659"/>
      <c r="J22" s="659"/>
      <c r="K22" s="659"/>
      <c r="L22" s="659"/>
      <c r="M22" s="1"/>
      <c r="N22" s="1"/>
      <c r="O22" s="1"/>
      <c r="P22" s="1"/>
      <c r="Q22" s="1"/>
      <c r="R22" s="1"/>
      <c r="S22" s="1"/>
      <c r="T22" s="1"/>
      <c r="U22" s="1"/>
      <c r="V22" s="1"/>
      <c r="W22" s="1"/>
      <c r="X22" s="1"/>
      <c r="Y22" s="1"/>
      <c r="Z22" s="1"/>
      <c r="AA22" s="1"/>
      <c r="AB22" s="1"/>
      <c r="AC22" s="1"/>
      <c r="AD22" s="1"/>
      <c r="AE22" s="1"/>
      <c r="AF22" s="1"/>
      <c r="AG22" s="1"/>
      <c r="AH22" s="1"/>
    </row>
    <row r="23" spans="1:34" s="1" customFormat="1" ht="9.75" customHeight="1" outlineLevel="1" x14ac:dyDescent="0.25"/>
    <row r="24" spans="1:34" s="1" customFormat="1" outlineLevel="1" x14ac:dyDescent="0.25">
      <c r="A24" s="2"/>
      <c r="B24" s="13" t="s">
        <v>896</v>
      </c>
      <c r="D24" s="43"/>
      <c r="E24" s="284" t="s">
        <v>897</v>
      </c>
    </row>
    <row r="25" spans="1:34" s="1" customFormat="1" outlineLevel="1" x14ac:dyDescent="0.25">
      <c r="A25" s="2"/>
      <c r="B25" s="660" t="s">
        <v>898</v>
      </c>
      <c r="C25" s="665" t="s">
        <v>899</v>
      </c>
      <c r="D25" s="43"/>
      <c r="E25" s="661"/>
      <c r="F25" s="701" t="s">
        <v>900</v>
      </c>
    </row>
    <row r="26" spans="1:34" s="1" customFormat="1" outlineLevel="1" x14ac:dyDescent="0.25">
      <c r="A26" s="2"/>
      <c r="B26" s="663" t="s">
        <v>398</v>
      </c>
      <c r="C26" s="666">
        <v>0</v>
      </c>
      <c r="E26" s="663">
        <v>2030</v>
      </c>
      <c r="F26" s="670">
        <f>H54</f>
        <v>3808.9811728600712</v>
      </c>
    </row>
    <row r="27" spans="1:34" s="1" customFormat="1" outlineLevel="1" x14ac:dyDescent="0.25">
      <c r="A27" s="2"/>
      <c r="B27" s="155" t="s">
        <v>399</v>
      </c>
      <c r="C27" s="667">
        <v>0</v>
      </c>
      <c r="E27" s="155">
        <v>2035</v>
      </c>
      <c r="F27" s="428">
        <f>M54</f>
        <v>5666.5528205750597</v>
      </c>
    </row>
    <row r="28" spans="1:34" s="1" customFormat="1" ht="15.75" customHeight="1" outlineLevel="1" x14ac:dyDescent="0.25">
      <c r="B28" s="663" t="s">
        <v>400</v>
      </c>
      <c r="C28" s="666">
        <f>SUM(D48:AB48)/1000/25</f>
        <v>-4.1790701595145707</v>
      </c>
      <c r="E28" s="663">
        <v>2040</v>
      </c>
      <c r="F28" s="670">
        <f>R54</f>
        <v>4702.4146476161877</v>
      </c>
    </row>
    <row r="29" spans="1:34" s="1" customFormat="1" outlineLevel="1" x14ac:dyDescent="0.25">
      <c r="B29" s="155" t="s">
        <v>401</v>
      </c>
      <c r="C29" s="669">
        <f>C28*(SISENDID!D189/(SISENDID!D211*0.7))</f>
        <v>-6.073081641824055E-3</v>
      </c>
      <c r="E29" s="155">
        <v>2045</v>
      </c>
      <c r="F29" s="428">
        <f>W54</f>
        <v>4451.0978419107196</v>
      </c>
    </row>
    <row r="30" spans="1:34" s="1" customFormat="1" outlineLevel="1" x14ac:dyDescent="0.25">
      <c r="B30" s="663" t="s">
        <v>901</v>
      </c>
      <c r="C30" s="670">
        <f>MAX(D54:AR54)</f>
        <v>5666.5528205750597</v>
      </c>
      <c r="E30" s="663">
        <v>2050</v>
      </c>
      <c r="F30" s="670">
        <f>AB54</f>
        <v>3314.6420872487843</v>
      </c>
    </row>
    <row r="31" spans="1:34" s="1" customFormat="1" outlineLevel="1" x14ac:dyDescent="0.25">
      <c r="B31" s="155" t="s">
        <v>403</v>
      </c>
      <c r="C31" s="428">
        <f>SUM(D48:AV48)*1000/SUM(D54:AV54)</f>
        <v>-1941.0000813751335</v>
      </c>
      <c r="E31" s="7"/>
    </row>
    <row r="32" spans="1:34" s="1" customFormat="1" outlineLevel="1" x14ac:dyDescent="0.25"/>
    <row r="33" spans="1:48" s="1" customFormat="1" outlineLevel="1" x14ac:dyDescent="0.25">
      <c r="A33" s="2"/>
      <c r="B33" s="284" t="s">
        <v>903</v>
      </c>
      <c r="D33" s="43"/>
      <c r="E33" s="7"/>
      <c r="I33" s="277" t="s">
        <v>876</v>
      </c>
    </row>
    <row r="34" spans="1:48" s="1" customFormat="1" ht="16.5" customHeight="1" outlineLevel="1" x14ac:dyDescent="0.25">
      <c r="A34" s="2"/>
      <c r="B34" s="155" t="s">
        <v>904</v>
      </c>
      <c r="C34" s="307" t="s">
        <v>905</v>
      </c>
      <c r="D34" s="12"/>
      <c r="E34" s="12"/>
      <c r="F34" s="12"/>
      <c r="G34" s="12"/>
      <c r="H34" s="12"/>
      <c r="I34" s="311" t="s">
        <v>474</v>
      </c>
      <c r="J34" s="295" t="s">
        <v>906</v>
      </c>
    </row>
    <row r="35" spans="1:48" s="1" customFormat="1" ht="16.5" customHeight="1" outlineLevel="1" x14ac:dyDescent="0.25">
      <c r="A35" s="2"/>
      <c r="B35" s="155" t="s">
        <v>907</v>
      </c>
      <c r="C35" s="307" t="s">
        <v>910</v>
      </c>
      <c r="D35" s="397">
        <f>IF(C35="Kõrge",3,IF(C35="Mõõdukas",2,1))</f>
        <v>1</v>
      </c>
      <c r="E35" s="12"/>
      <c r="F35" s="12"/>
      <c r="G35" s="12"/>
      <c r="H35" s="12"/>
      <c r="I35" s="312" t="s">
        <v>905</v>
      </c>
      <c r="J35" s="295" t="s">
        <v>908</v>
      </c>
    </row>
    <row r="36" spans="1:48" s="1" customFormat="1" outlineLevel="1" x14ac:dyDescent="0.25">
      <c r="A36" s="2"/>
      <c r="B36" s="155" t="s">
        <v>909</v>
      </c>
      <c r="C36" s="307" t="s">
        <v>910</v>
      </c>
      <c r="D36" s="397">
        <f>IF(C36="Kõrge",3,IF(C36="Mõõdukas",2,1))</f>
        <v>1</v>
      </c>
      <c r="E36" s="12"/>
      <c r="F36" s="12"/>
      <c r="I36" s="313" t="s">
        <v>910</v>
      </c>
      <c r="J36" s="295" t="s">
        <v>911</v>
      </c>
    </row>
    <row r="37" spans="1:48" s="1" customFormat="1" ht="16.5" customHeight="1" x14ac:dyDescent="0.25">
      <c r="C37" s="399" t="s">
        <v>912</v>
      </c>
      <c r="D37" s="398">
        <f>D36+D35</f>
        <v>2</v>
      </c>
    </row>
    <row r="38" spans="1:48" x14ac:dyDescent="0.25">
      <c r="A38" s="1"/>
      <c r="B38" s="659" t="s">
        <v>913</v>
      </c>
      <c r="C38" s="659"/>
      <c r="D38" s="659"/>
      <c r="E38" s="659"/>
      <c r="F38" s="659"/>
      <c r="G38" s="659"/>
      <c r="H38" s="659"/>
      <c r="I38" s="659"/>
      <c r="J38" s="659"/>
      <c r="K38" s="659"/>
      <c r="L38" s="659"/>
      <c r="M38" s="659"/>
      <c r="N38" s="659"/>
      <c r="O38" s="659"/>
      <c r="P38" s="659"/>
      <c r="Q38" s="659"/>
      <c r="R38" s="659"/>
      <c r="S38" s="659"/>
      <c r="T38" s="659"/>
      <c r="U38" s="659"/>
      <c r="V38" s="659"/>
      <c r="W38" s="659"/>
      <c r="X38" s="659"/>
      <c r="Y38" s="659"/>
      <c r="Z38" s="659"/>
      <c r="AA38" s="659"/>
      <c r="AB38" s="659"/>
      <c r="AC38" s="659"/>
      <c r="AD38" s="659"/>
      <c r="AE38" s="659"/>
      <c r="AF38" s="659"/>
      <c r="AG38" s="659"/>
      <c r="AH38" s="659"/>
      <c r="AI38" s="659"/>
      <c r="AJ38" s="659"/>
      <c r="AK38" s="659"/>
      <c r="AL38" s="659"/>
      <c r="AM38" s="659"/>
      <c r="AN38" s="659"/>
      <c r="AO38" s="659"/>
      <c r="AP38" s="659"/>
      <c r="AQ38" s="659"/>
      <c r="AR38" s="659"/>
      <c r="AS38" s="659"/>
      <c r="AT38" s="659"/>
      <c r="AU38" s="659"/>
      <c r="AV38" s="659"/>
    </row>
    <row r="39" spans="1:48" s="15" customFormat="1" ht="7.5" customHeight="1" outlineLevel="1" x14ac:dyDescent="0.25"/>
    <row r="40" spans="1:48" s="15" customFormat="1" ht="13.5" outlineLevel="1" x14ac:dyDescent="0.25">
      <c r="B40" s="696" t="s">
        <v>914</v>
      </c>
      <c r="C40" s="697"/>
      <c r="D40" s="698">
        <v>2026</v>
      </c>
      <c r="E40" s="698">
        <f>D40+1</f>
        <v>2027</v>
      </c>
      <c r="F40" s="698">
        <f t="shared" ref="F40:AV40" si="0">E40+1</f>
        <v>2028</v>
      </c>
      <c r="G40" s="698">
        <f t="shared" si="0"/>
        <v>2029</v>
      </c>
      <c r="H40" s="698">
        <f t="shared" si="0"/>
        <v>2030</v>
      </c>
      <c r="I40" s="698">
        <f t="shared" si="0"/>
        <v>2031</v>
      </c>
      <c r="J40" s="698">
        <f t="shared" si="0"/>
        <v>2032</v>
      </c>
      <c r="K40" s="698">
        <f t="shared" si="0"/>
        <v>2033</v>
      </c>
      <c r="L40" s="698">
        <f t="shared" si="0"/>
        <v>2034</v>
      </c>
      <c r="M40" s="698">
        <f t="shared" si="0"/>
        <v>2035</v>
      </c>
      <c r="N40" s="698">
        <f>M40+1</f>
        <v>2036</v>
      </c>
      <c r="O40" s="698">
        <f t="shared" si="0"/>
        <v>2037</v>
      </c>
      <c r="P40" s="698">
        <f t="shared" si="0"/>
        <v>2038</v>
      </c>
      <c r="Q40" s="698">
        <f t="shared" si="0"/>
        <v>2039</v>
      </c>
      <c r="R40" s="698">
        <f t="shared" si="0"/>
        <v>2040</v>
      </c>
      <c r="S40" s="698">
        <f>R40+1</f>
        <v>2041</v>
      </c>
      <c r="T40" s="698">
        <f>S40+1</f>
        <v>2042</v>
      </c>
      <c r="U40" s="698">
        <f>T40+1</f>
        <v>2043</v>
      </c>
      <c r="V40" s="698">
        <f t="shared" si="0"/>
        <v>2044</v>
      </c>
      <c r="W40" s="698">
        <f t="shared" si="0"/>
        <v>2045</v>
      </c>
      <c r="X40" s="698">
        <f t="shared" si="0"/>
        <v>2046</v>
      </c>
      <c r="Y40" s="698">
        <f t="shared" si="0"/>
        <v>2047</v>
      </c>
      <c r="Z40" s="698">
        <f t="shared" si="0"/>
        <v>2048</v>
      </c>
      <c r="AA40" s="698">
        <f t="shared" si="0"/>
        <v>2049</v>
      </c>
      <c r="AB40" s="698">
        <f t="shared" si="0"/>
        <v>2050</v>
      </c>
      <c r="AC40" s="698">
        <f t="shared" si="0"/>
        <v>2051</v>
      </c>
      <c r="AD40" s="698">
        <f t="shared" si="0"/>
        <v>2052</v>
      </c>
      <c r="AE40" s="698">
        <f t="shared" si="0"/>
        <v>2053</v>
      </c>
      <c r="AF40" s="698">
        <f t="shared" si="0"/>
        <v>2054</v>
      </c>
      <c r="AG40" s="698">
        <f t="shared" si="0"/>
        <v>2055</v>
      </c>
      <c r="AH40" s="698">
        <f t="shared" si="0"/>
        <v>2056</v>
      </c>
      <c r="AI40" s="698">
        <f t="shared" si="0"/>
        <v>2057</v>
      </c>
      <c r="AJ40" s="698">
        <f t="shared" si="0"/>
        <v>2058</v>
      </c>
      <c r="AK40" s="698">
        <f t="shared" si="0"/>
        <v>2059</v>
      </c>
      <c r="AL40" s="698">
        <f t="shared" si="0"/>
        <v>2060</v>
      </c>
      <c r="AM40" s="698">
        <f t="shared" si="0"/>
        <v>2061</v>
      </c>
      <c r="AN40" s="698">
        <f t="shared" si="0"/>
        <v>2062</v>
      </c>
      <c r="AO40" s="698">
        <f t="shared" si="0"/>
        <v>2063</v>
      </c>
      <c r="AP40" s="698">
        <f t="shared" si="0"/>
        <v>2064</v>
      </c>
      <c r="AQ40" s="698">
        <f t="shared" si="0"/>
        <v>2065</v>
      </c>
      <c r="AR40" s="698">
        <f t="shared" si="0"/>
        <v>2066</v>
      </c>
      <c r="AS40" s="698">
        <f t="shared" si="0"/>
        <v>2067</v>
      </c>
      <c r="AT40" s="698">
        <f t="shared" si="0"/>
        <v>2068</v>
      </c>
      <c r="AU40" s="698">
        <f t="shared" si="0"/>
        <v>2069</v>
      </c>
      <c r="AV40" s="699">
        <f t="shared" si="0"/>
        <v>2070</v>
      </c>
    </row>
    <row r="41" spans="1:48" s="15" customFormat="1" ht="13.5" outlineLevel="1" x14ac:dyDescent="0.25">
      <c r="B41" s="671" t="s">
        <v>1343</v>
      </c>
      <c r="C41" s="674" t="s">
        <v>1567</v>
      </c>
      <c r="D41" s="675">
        <f>IF(OR(D40&lt;$C$8,D40&gt;$C$9),0,1)</f>
        <v>0</v>
      </c>
      <c r="E41" s="675">
        <f t="shared" ref="E41:AV41" si="1">IF(OR(E40&lt;$C$8,E40&gt;$C$9),0,1)</f>
        <v>0</v>
      </c>
      <c r="F41" s="675">
        <f t="shared" si="1"/>
        <v>1</v>
      </c>
      <c r="G41" s="675">
        <f t="shared" si="1"/>
        <v>1</v>
      </c>
      <c r="H41" s="675">
        <f t="shared" si="1"/>
        <v>1</v>
      </c>
      <c r="I41" s="675">
        <f t="shared" si="1"/>
        <v>1</v>
      </c>
      <c r="J41" s="675">
        <f t="shared" si="1"/>
        <v>1</v>
      </c>
      <c r="K41" s="675">
        <f t="shared" si="1"/>
        <v>1</v>
      </c>
      <c r="L41" s="675">
        <f t="shared" si="1"/>
        <v>1</v>
      </c>
      <c r="M41" s="675">
        <f t="shared" si="1"/>
        <v>1</v>
      </c>
      <c r="N41" s="675">
        <f t="shared" si="1"/>
        <v>1</v>
      </c>
      <c r="O41" s="675">
        <f t="shared" si="1"/>
        <v>1</v>
      </c>
      <c r="P41" s="675">
        <f t="shared" si="1"/>
        <v>1</v>
      </c>
      <c r="Q41" s="675">
        <f t="shared" si="1"/>
        <v>1</v>
      </c>
      <c r="R41" s="675">
        <f t="shared" si="1"/>
        <v>1</v>
      </c>
      <c r="S41" s="675">
        <f t="shared" si="1"/>
        <v>1</v>
      </c>
      <c r="T41" s="675">
        <f t="shared" si="1"/>
        <v>1</v>
      </c>
      <c r="U41" s="675">
        <f t="shared" si="1"/>
        <v>1</v>
      </c>
      <c r="V41" s="675">
        <f t="shared" si="1"/>
        <v>1</v>
      </c>
      <c r="W41" s="675">
        <f t="shared" si="1"/>
        <v>1</v>
      </c>
      <c r="X41" s="675">
        <f t="shared" si="1"/>
        <v>1</v>
      </c>
      <c r="Y41" s="675">
        <f t="shared" si="1"/>
        <v>1</v>
      </c>
      <c r="Z41" s="675">
        <f t="shared" si="1"/>
        <v>1</v>
      </c>
      <c r="AA41" s="675">
        <f t="shared" si="1"/>
        <v>1</v>
      </c>
      <c r="AB41" s="675">
        <f t="shared" si="1"/>
        <v>1</v>
      </c>
      <c r="AC41" s="675">
        <f t="shared" si="1"/>
        <v>0</v>
      </c>
      <c r="AD41" s="675">
        <f t="shared" si="1"/>
        <v>0</v>
      </c>
      <c r="AE41" s="675">
        <f t="shared" si="1"/>
        <v>0</v>
      </c>
      <c r="AF41" s="675">
        <f t="shared" si="1"/>
        <v>0</v>
      </c>
      <c r="AG41" s="675">
        <f t="shared" si="1"/>
        <v>0</v>
      </c>
      <c r="AH41" s="675">
        <f t="shared" si="1"/>
        <v>0</v>
      </c>
      <c r="AI41" s="675">
        <f t="shared" si="1"/>
        <v>0</v>
      </c>
      <c r="AJ41" s="675">
        <f t="shared" si="1"/>
        <v>0</v>
      </c>
      <c r="AK41" s="675">
        <f t="shared" si="1"/>
        <v>0</v>
      </c>
      <c r="AL41" s="675">
        <f t="shared" si="1"/>
        <v>0</v>
      </c>
      <c r="AM41" s="675">
        <f t="shared" si="1"/>
        <v>0</v>
      </c>
      <c r="AN41" s="675">
        <f t="shared" si="1"/>
        <v>0</v>
      </c>
      <c r="AO41" s="675">
        <f t="shared" si="1"/>
        <v>0</v>
      </c>
      <c r="AP41" s="675">
        <f t="shared" si="1"/>
        <v>0</v>
      </c>
      <c r="AQ41" s="675">
        <f t="shared" si="1"/>
        <v>0</v>
      </c>
      <c r="AR41" s="675">
        <f t="shared" si="1"/>
        <v>0</v>
      </c>
      <c r="AS41" s="675">
        <f t="shared" si="1"/>
        <v>0</v>
      </c>
      <c r="AT41" s="675">
        <f t="shared" si="1"/>
        <v>0</v>
      </c>
      <c r="AU41" s="675">
        <f t="shared" si="1"/>
        <v>0</v>
      </c>
      <c r="AV41" s="676">
        <f t="shared" si="1"/>
        <v>0</v>
      </c>
    </row>
    <row r="42" spans="1:48" s="15" customFormat="1" ht="13.5" outlineLevel="1" x14ac:dyDescent="0.25">
      <c r="B42" s="671" t="s">
        <v>1643</v>
      </c>
      <c r="C42" s="674" t="s">
        <v>1624</v>
      </c>
      <c r="D42" s="704">
        <f>D41*$C$17/$C$10</f>
        <v>0</v>
      </c>
      <c r="E42" s="704">
        <f>E41*$C$17/$C$10</f>
        <v>0</v>
      </c>
      <c r="F42" s="704">
        <f t="shared" ref="F42:AV42" si="2">F41*$C$17/$C$10</f>
        <v>6.7632850241545897E-3</v>
      </c>
      <c r="G42" s="704">
        <f t="shared" si="2"/>
        <v>6.7632850241545897E-3</v>
      </c>
      <c r="H42" s="704">
        <f t="shared" si="2"/>
        <v>6.7632850241545897E-3</v>
      </c>
      <c r="I42" s="704">
        <f t="shared" si="2"/>
        <v>6.7632850241545897E-3</v>
      </c>
      <c r="J42" s="704">
        <f t="shared" si="2"/>
        <v>6.7632850241545897E-3</v>
      </c>
      <c r="K42" s="704">
        <f t="shared" si="2"/>
        <v>6.7632850241545897E-3</v>
      </c>
      <c r="L42" s="704">
        <f t="shared" si="2"/>
        <v>6.7632850241545897E-3</v>
      </c>
      <c r="M42" s="704">
        <f t="shared" si="2"/>
        <v>6.7632850241545897E-3</v>
      </c>
      <c r="N42" s="704">
        <f t="shared" si="2"/>
        <v>6.7632850241545897E-3</v>
      </c>
      <c r="O42" s="704">
        <f t="shared" si="2"/>
        <v>6.7632850241545897E-3</v>
      </c>
      <c r="P42" s="704">
        <f t="shared" si="2"/>
        <v>6.7632850241545897E-3</v>
      </c>
      <c r="Q42" s="704">
        <f t="shared" si="2"/>
        <v>6.7632850241545897E-3</v>
      </c>
      <c r="R42" s="704">
        <f t="shared" si="2"/>
        <v>6.7632850241545897E-3</v>
      </c>
      <c r="S42" s="704">
        <f t="shared" si="2"/>
        <v>6.7632850241545897E-3</v>
      </c>
      <c r="T42" s="704">
        <f t="shared" si="2"/>
        <v>6.7632850241545897E-3</v>
      </c>
      <c r="U42" s="704">
        <f t="shared" si="2"/>
        <v>6.7632850241545897E-3</v>
      </c>
      <c r="V42" s="704">
        <f t="shared" si="2"/>
        <v>6.7632850241545897E-3</v>
      </c>
      <c r="W42" s="704">
        <f t="shared" si="2"/>
        <v>6.7632850241545897E-3</v>
      </c>
      <c r="X42" s="704">
        <f t="shared" si="2"/>
        <v>6.7632850241545897E-3</v>
      </c>
      <c r="Y42" s="704">
        <f t="shared" si="2"/>
        <v>6.7632850241545897E-3</v>
      </c>
      <c r="Z42" s="704">
        <f t="shared" si="2"/>
        <v>6.7632850241545897E-3</v>
      </c>
      <c r="AA42" s="704">
        <f t="shared" si="2"/>
        <v>6.7632850241545897E-3</v>
      </c>
      <c r="AB42" s="704">
        <f t="shared" si="2"/>
        <v>6.7632850241545897E-3</v>
      </c>
      <c r="AC42" s="704">
        <f t="shared" si="2"/>
        <v>0</v>
      </c>
      <c r="AD42" s="704">
        <f t="shared" si="2"/>
        <v>0</v>
      </c>
      <c r="AE42" s="704">
        <f t="shared" si="2"/>
        <v>0</v>
      </c>
      <c r="AF42" s="704">
        <f t="shared" si="2"/>
        <v>0</v>
      </c>
      <c r="AG42" s="704">
        <f t="shared" si="2"/>
        <v>0</v>
      </c>
      <c r="AH42" s="704">
        <f t="shared" si="2"/>
        <v>0</v>
      </c>
      <c r="AI42" s="704">
        <f t="shared" si="2"/>
        <v>0</v>
      </c>
      <c r="AJ42" s="704">
        <f t="shared" si="2"/>
        <v>0</v>
      </c>
      <c r="AK42" s="704">
        <f t="shared" si="2"/>
        <v>0</v>
      </c>
      <c r="AL42" s="704">
        <f t="shared" si="2"/>
        <v>0</v>
      </c>
      <c r="AM42" s="704">
        <f t="shared" si="2"/>
        <v>0</v>
      </c>
      <c r="AN42" s="704">
        <f t="shared" si="2"/>
        <v>0</v>
      </c>
      <c r="AO42" s="704">
        <f t="shared" si="2"/>
        <v>0</v>
      </c>
      <c r="AP42" s="704">
        <f t="shared" si="2"/>
        <v>0</v>
      </c>
      <c r="AQ42" s="704">
        <f t="shared" si="2"/>
        <v>0</v>
      </c>
      <c r="AR42" s="704">
        <f t="shared" si="2"/>
        <v>0</v>
      </c>
      <c r="AS42" s="704">
        <f t="shared" si="2"/>
        <v>0</v>
      </c>
      <c r="AT42" s="704">
        <f t="shared" si="2"/>
        <v>0</v>
      </c>
      <c r="AU42" s="704">
        <f t="shared" si="2"/>
        <v>0</v>
      </c>
      <c r="AV42" s="705">
        <f t="shared" si="2"/>
        <v>0</v>
      </c>
    </row>
    <row r="43" spans="1:48" s="15" customFormat="1" ht="13.5" outlineLevel="1" x14ac:dyDescent="0.25">
      <c r="B43" s="671" t="s">
        <v>1644</v>
      </c>
      <c r="C43" s="674" t="s">
        <v>1624</v>
      </c>
      <c r="D43" s="704">
        <f>D42</f>
        <v>0</v>
      </c>
      <c r="E43" s="704">
        <f>D43+E42</f>
        <v>0</v>
      </c>
      <c r="F43" s="704">
        <f t="shared" ref="F43:AV43" si="3">E43+F42</f>
        <v>6.7632850241545897E-3</v>
      </c>
      <c r="G43" s="704">
        <f t="shared" si="3"/>
        <v>1.3526570048309179E-2</v>
      </c>
      <c r="H43" s="704">
        <f t="shared" si="3"/>
        <v>2.028985507246377E-2</v>
      </c>
      <c r="I43" s="704">
        <f t="shared" si="3"/>
        <v>2.7053140096618359E-2</v>
      </c>
      <c r="J43" s="704">
        <f t="shared" si="3"/>
        <v>3.3816425120772951E-2</v>
      </c>
      <c r="K43" s="704">
        <f t="shared" si="3"/>
        <v>4.057971014492754E-2</v>
      </c>
      <c r="L43" s="704">
        <f t="shared" si="3"/>
        <v>4.7342995169082129E-2</v>
      </c>
      <c r="M43" s="704">
        <f t="shared" si="3"/>
        <v>5.4106280193236718E-2</v>
      </c>
      <c r="N43" s="704">
        <f t="shared" si="3"/>
        <v>6.0869565217391307E-2</v>
      </c>
      <c r="O43" s="704">
        <f t="shared" si="3"/>
        <v>6.7632850241545903E-2</v>
      </c>
      <c r="P43" s="704">
        <f t="shared" si="3"/>
        <v>7.4396135265700492E-2</v>
      </c>
      <c r="Q43" s="704">
        <f t="shared" si="3"/>
        <v>8.115942028985508E-2</v>
      </c>
      <c r="R43" s="704">
        <f t="shared" si="3"/>
        <v>8.7922705314009669E-2</v>
      </c>
      <c r="S43" s="704">
        <f t="shared" si="3"/>
        <v>9.4685990338164258E-2</v>
      </c>
      <c r="T43" s="704">
        <f t="shared" si="3"/>
        <v>0.10144927536231885</v>
      </c>
      <c r="U43" s="704">
        <f t="shared" si="3"/>
        <v>0.10821256038647344</v>
      </c>
      <c r="V43" s="704">
        <f t="shared" si="3"/>
        <v>0.11497584541062802</v>
      </c>
      <c r="W43" s="704">
        <f t="shared" si="3"/>
        <v>0.12173913043478261</v>
      </c>
      <c r="X43" s="704">
        <f t="shared" si="3"/>
        <v>0.1285024154589372</v>
      </c>
      <c r="Y43" s="704">
        <f t="shared" si="3"/>
        <v>0.13526570048309181</v>
      </c>
      <c r="Z43" s="704">
        <f t="shared" si="3"/>
        <v>0.14202898550724641</v>
      </c>
      <c r="AA43" s="704">
        <f t="shared" si="3"/>
        <v>0.14879227053140101</v>
      </c>
      <c r="AB43" s="704">
        <f t="shared" si="3"/>
        <v>0.15555555555555561</v>
      </c>
      <c r="AC43" s="704">
        <f t="shared" si="3"/>
        <v>0.15555555555555561</v>
      </c>
      <c r="AD43" s="704">
        <f t="shared" si="3"/>
        <v>0.15555555555555561</v>
      </c>
      <c r="AE43" s="704">
        <f t="shared" si="3"/>
        <v>0.15555555555555561</v>
      </c>
      <c r="AF43" s="704">
        <f t="shared" si="3"/>
        <v>0.15555555555555561</v>
      </c>
      <c r="AG43" s="704">
        <f t="shared" si="3"/>
        <v>0.15555555555555561</v>
      </c>
      <c r="AH43" s="704">
        <f t="shared" si="3"/>
        <v>0.15555555555555561</v>
      </c>
      <c r="AI43" s="704">
        <f t="shared" si="3"/>
        <v>0.15555555555555561</v>
      </c>
      <c r="AJ43" s="704">
        <f t="shared" si="3"/>
        <v>0.15555555555555561</v>
      </c>
      <c r="AK43" s="704">
        <f t="shared" si="3"/>
        <v>0.15555555555555561</v>
      </c>
      <c r="AL43" s="704">
        <f t="shared" si="3"/>
        <v>0.15555555555555561</v>
      </c>
      <c r="AM43" s="704">
        <f t="shared" si="3"/>
        <v>0.15555555555555561</v>
      </c>
      <c r="AN43" s="704">
        <f t="shared" si="3"/>
        <v>0.15555555555555561</v>
      </c>
      <c r="AO43" s="704">
        <f t="shared" si="3"/>
        <v>0.15555555555555561</v>
      </c>
      <c r="AP43" s="704">
        <f t="shared" si="3"/>
        <v>0.15555555555555561</v>
      </c>
      <c r="AQ43" s="704">
        <f t="shared" si="3"/>
        <v>0.15555555555555561</v>
      </c>
      <c r="AR43" s="704">
        <f t="shared" si="3"/>
        <v>0.15555555555555561</v>
      </c>
      <c r="AS43" s="704">
        <f t="shared" si="3"/>
        <v>0.15555555555555561</v>
      </c>
      <c r="AT43" s="704">
        <f t="shared" si="3"/>
        <v>0.15555555555555561</v>
      </c>
      <c r="AU43" s="704">
        <f t="shared" si="3"/>
        <v>0.15555555555555561</v>
      </c>
      <c r="AV43" s="705">
        <f t="shared" si="3"/>
        <v>0.15555555555555561</v>
      </c>
    </row>
    <row r="44" spans="1:48" s="15" customFormat="1" ht="13.5" outlineLevel="1" x14ac:dyDescent="0.25">
      <c r="B44" s="689" t="s">
        <v>1645</v>
      </c>
      <c r="C44" s="685"/>
      <c r="D44" s="706"/>
      <c r="E44" s="706"/>
      <c r="F44" s="706"/>
      <c r="G44" s="706"/>
      <c r="H44" s="706"/>
      <c r="I44" s="706"/>
      <c r="J44" s="706"/>
      <c r="K44" s="706"/>
      <c r="L44" s="706"/>
      <c r="M44" s="706"/>
      <c r="N44" s="706"/>
      <c r="O44" s="706"/>
      <c r="P44" s="706"/>
      <c r="Q44" s="706"/>
      <c r="R44" s="706"/>
      <c r="S44" s="706"/>
      <c r="T44" s="706"/>
      <c r="U44" s="706"/>
      <c r="V44" s="706"/>
      <c r="W44" s="706"/>
      <c r="X44" s="706"/>
      <c r="Y44" s="706"/>
      <c r="Z44" s="706"/>
      <c r="AA44" s="706"/>
      <c r="AB44" s="706"/>
      <c r="AC44" s="706"/>
      <c r="AD44" s="706"/>
      <c r="AE44" s="706"/>
      <c r="AF44" s="706"/>
      <c r="AG44" s="706"/>
      <c r="AH44" s="706"/>
      <c r="AI44" s="706"/>
      <c r="AJ44" s="706"/>
      <c r="AK44" s="706"/>
      <c r="AL44" s="706"/>
      <c r="AM44" s="706"/>
      <c r="AN44" s="706"/>
      <c r="AO44" s="706"/>
      <c r="AP44" s="706"/>
      <c r="AQ44" s="706"/>
      <c r="AR44" s="706"/>
      <c r="AS44" s="706"/>
      <c r="AT44" s="706"/>
      <c r="AU44" s="706"/>
      <c r="AV44" s="707"/>
    </row>
    <row r="45" spans="1:48" s="15" customFormat="1" ht="13.5" outlineLevel="1" x14ac:dyDescent="0.25">
      <c r="B45" s="684" t="s">
        <v>1646</v>
      </c>
      <c r="C45" s="685" t="s">
        <v>1573</v>
      </c>
      <c r="D45" s="708">
        <f>-D51*$C$18</f>
        <v>0</v>
      </c>
      <c r="E45" s="708">
        <f t="shared" ref="E45:I45" si="4">-E51*$C$18</f>
        <v>0</v>
      </c>
      <c r="F45" s="708">
        <f t="shared" si="4"/>
        <v>-629.39717891682699</v>
      </c>
      <c r="G45" s="708">
        <f t="shared" si="4"/>
        <v>-1064.8822157456914</v>
      </c>
      <c r="H45" s="708">
        <f t="shared" si="4"/>
        <v>-1216.5277815493423</v>
      </c>
      <c r="I45" s="708">
        <f t="shared" si="4"/>
        <v>-1294.4147373104192</v>
      </c>
      <c r="J45" s="708">
        <f t="shared" ref="J45:AV45" si="5">-J51*$C$18</f>
        <v>-1305.6753755432524</v>
      </c>
      <c r="K45" s="708">
        <f t="shared" si="5"/>
        <v>-1234.3140812896675</v>
      </c>
      <c r="L45" s="708">
        <f t="shared" si="5"/>
        <v>-1099.8055849159305</v>
      </c>
      <c r="M45" s="708">
        <f t="shared" si="5"/>
        <v>-920.7074421804457</v>
      </c>
      <c r="N45" s="708">
        <f t="shared" si="5"/>
        <v>-705.64166881268272</v>
      </c>
      <c r="O45" s="708">
        <f t="shared" si="5"/>
        <v>-709.712896228413</v>
      </c>
      <c r="P45" s="708">
        <f t="shared" si="5"/>
        <v>-680.96768715769133</v>
      </c>
      <c r="Q45" s="708">
        <f t="shared" si="5"/>
        <v>-593.20326516106888</v>
      </c>
      <c r="R45" s="708">
        <f t="shared" si="5"/>
        <v>-576.46886855173022</v>
      </c>
      <c r="S45" s="708">
        <f t="shared" si="5"/>
        <v>-554.27427520871333</v>
      </c>
      <c r="T45" s="708">
        <f t="shared" si="5"/>
        <v>-516.90738833219166</v>
      </c>
      <c r="U45" s="708">
        <f t="shared" si="5"/>
        <v>-486.8923452350283</v>
      </c>
      <c r="V45" s="708">
        <f t="shared" si="5"/>
        <v>-452.43791315438972</v>
      </c>
      <c r="W45" s="708">
        <f t="shared" si="5"/>
        <v>-417.26388999036908</v>
      </c>
      <c r="X45" s="708">
        <f t="shared" si="5"/>
        <v>-364.12282424267573</v>
      </c>
      <c r="Y45" s="708">
        <f t="shared" si="5"/>
        <v>-328.01155389922701</v>
      </c>
      <c r="Z45" s="708">
        <f t="shared" si="5"/>
        <v>-291.56067046383498</v>
      </c>
      <c r="AA45" s="708">
        <f t="shared" si="5"/>
        <v>-255.319379253123</v>
      </c>
      <c r="AB45" s="708">
        <f t="shared" si="5"/>
        <v>-214.51431645072165</v>
      </c>
      <c r="AC45" s="708">
        <f t="shared" si="5"/>
        <v>-183.14397834284361</v>
      </c>
      <c r="AD45" s="708">
        <f t="shared" si="5"/>
        <v>-164.74826346278093</v>
      </c>
      <c r="AE45" s="708">
        <f t="shared" si="5"/>
        <v>-147.33394742304924</v>
      </c>
      <c r="AF45" s="708">
        <f t="shared" si="5"/>
        <v>-130.89948072971893</v>
      </c>
      <c r="AG45" s="708">
        <f t="shared" si="5"/>
        <v>-115.44332892300304</v>
      </c>
      <c r="AH45" s="708">
        <f t="shared" si="5"/>
        <v>-100.96397245388351</v>
      </c>
      <c r="AI45" s="708">
        <f t="shared" si="5"/>
        <v>-87.459906561653654</v>
      </c>
      <c r="AJ45" s="708">
        <f t="shared" si="5"/>
        <v>-74.929641152371573</v>
      </c>
      <c r="AK45" s="708">
        <f t="shared" si="5"/>
        <v>-63.371700678217181</v>
      </c>
      <c r="AL45" s="708">
        <f t="shared" si="5"/>
        <v>-52.784624017747177</v>
      </c>
      <c r="AM45" s="708">
        <f t="shared" si="5"/>
        <v>-43.166964357041337</v>
      </c>
      <c r="AN45" s="708">
        <f t="shared" si="5"/>
        <v>-34.517289071734268</v>
      </c>
      <c r="AO45" s="708">
        <f t="shared" si="5"/>
        <v>-26.834179609926096</v>
      </c>
      <c r="AP45" s="708">
        <f t="shared" si="5"/>
        <v>-20.116231375966144</v>
      </c>
      <c r="AQ45" s="708">
        <f t="shared" si="5"/>
        <v>-14.362053615103655</v>
      </c>
      <c r="AR45" s="708">
        <f t="shared" si="5"/>
        <v>-9.570269298999138</v>
      </c>
      <c r="AS45" s="708">
        <f t="shared" si="5"/>
        <v>-5.7395150120907168</v>
      </c>
      <c r="AT45" s="708">
        <f t="shared" si="5"/>
        <v>-2.8684408388092484</v>
      </c>
      <c r="AU45" s="708">
        <f t="shared" si="5"/>
        <v>-0.95571025163644208</v>
      </c>
      <c r="AV45" s="425">
        <f t="shared" si="5"/>
        <v>0</v>
      </c>
    </row>
    <row r="46" spans="1:48" s="15" customFormat="1" ht="13.5" outlineLevel="1" x14ac:dyDescent="0.25">
      <c r="B46" s="684" t="s">
        <v>1647</v>
      </c>
      <c r="C46" s="685" t="s">
        <v>1573</v>
      </c>
      <c r="D46" s="708">
        <f>-D53*$C$19</f>
        <v>0</v>
      </c>
      <c r="E46" s="708">
        <f t="shared" ref="E46:I46" si="6">-E53*$C$19</f>
        <v>0</v>
      </c>
      <c r="F46" s="708">
        <f t="shared" si="6"/>
        <v>-141.36261909928785</v>
      </c>
      <c r="G46" s="708">
        <f t="shared" si="6"/>
        <v>-320.19696503018451</v>
      </c>
      <c r="H46" s="708">
        <f t="shared" si="6"/>
        <v>-488.73414500497006</v>
      </c>
      <c r="I46" s="708">
        <f t="shared" si="6"/>
        <v>-697.40475367427086</v>
      </c>
      <c r="J46" s="708">
        <f t="shared" ref="J46:AV46" si="7">-J53*$C$19</f>
        <v>-952.40353219334327</v>
      </c>
      <c r="K46" s="708">
        <f t="shared" si="7"/>
        <v>-1238.5491693161227</v>
      </c>
      <c r="L46" s="708">
        <f t="shared" si="7"/>
        <v>-1555.2956233900334</v>
      </c>
      <c r="M46" s="708">
        <f t="shared" si="7"/>
        <v>-1902.1025119633975</v>
      </c>
      <c r="N46" s="708">
        <f t="shared" si="7"/>
        <v>-1761.3943798054968</v>
      </c>
      <c r="O46" s="708">
        <f t="shared" si="7"/>
        <v>-1997.7297535268981</v>
      </c>
      <c r="P46" s="708">
        <f t="shared" si="7"/>
        <v>-2167.8027904921933</v>
      </c>
      <c r="Q46" s="708">
        <f t="shared" si="7"/>
        <v>-2142.6449037179768</v>
      </c>
      <c r="R46" s="708">
        <f t="shared" si="7"/>
        <v>-2371.18661481965</v>
      </c>
      <c r="S46" s="708">
        <f t="shared" si="7"/>
        <v>-2607.0321693495921</v>
      </c>
      <c r="T46" s="708">
        <f t="shared" si="7"/>
        <v>-2793.070515849749</v>
      </c>
      <c r="U46" s="708">
        <f t="shared" si="7"/>
        <v>-3038.2768007188274</v>
      </c>
      <c r="V46" s="708">
        <f t="shared" si="7"/>
        <v>-3279.9089485346603</v>
      </c>
      <c r="W46" s="708">
        <f t="shared" si="7"/>
        <v>-3538.0595250307506</v>
      </c>
      <c r="X46" s="708">
        <f t="shared" si="7"/>
        <v>-3639.3695571596772</v>
      </c>
      <c r="Y46" s="708">
        <f t="shared" si="7"/>
        <v>-3899.2612183475376</v>
      </c>
      <c r="Z46" s="708">
        <f t="shared" si="7"/>
        <v>-4165.4684172406505</v>
      </c>
      <c r="AA46" s="708">
        <f t="shared" si="7"/>
        <v>-4437.92037404644</v>
      </c>
      <c r="AB46" s="708">
        <f t="shared" si="7"/>
        <v>-4602.9706973376915</v>
      </c>
      <c r="AC46" s="708">
        <f t="shared" si="7"/>
        <v>-4628.0038616029551</v>
      </c>
      <c r="AD46" s="708">
        <f t="shared" si="7"/>
        <v>-4652.8276479224369</v>
      </c>
      <c r="AE46" s="708">
        <f t="shared" si="7"/>
        <v>-4677.4434121681761</v>
      </c>
      <c r="AF46" s="708">
        <f t="shared" si="7"/>
        <v>-4701.852501712151</v>
      </c>
      <c r="AG46" s="708">
        <f t="shared" si="7"/>
        <v>-4726.0562554785174</v>
      </c>
      <c r="AH46" s="708">
        <f t="shared" si="7"/>
        <v>-4750.0560039955635</v>
      </c>
      <c r="AI46" s="708">
        <f t="shared" si="7"/>
        <v>-4773.8530694473311</v>
      </c>
      <c r="AJ46" s="708">
        <f t="shared" si="7"/>
        <v>-4797.4487657249329</v>
      </c>
      <c r="AK46" s="708">
        <f t="shared" si="7"/>
        <v>-4820.8443984775759</v>
      </c>
      <c r="AL46" s="708">
        <f t="shared" si="7"/>
        <v>-4844.0412651632469</v>
      </c>
      <c r="AM46" s="708">
        <f t="shared" si="7"/>
        <v>-4867.0406550991274</v>
      </c>
      <c r="AN46" s="708">
        <f t="shared" si="7"/>
        <v>-4889.8438495116816</v>
      </c>
      <c r="AO46" s="708">
        <f t="shared" si="7"/>
        <v>-4912.4521215864524</v>
      </c>
      <c r="AP46" s="708">
        <f t="shared" si="7"/>
        <v>-4934.8667365175606</v>
      </c>
      <c r="AQ46" s="708">
        <f t="shared" si="7"/>
        <v>-4957.0889515568942</v>
      </c>
      <c r="AR46" s="708">
        <f t="shared" si="7"/>
        <v>-4979.1200160630215</v>
      </c>
      <c r="AS46" s="708">
        <f t="shared" si="7"/>
        <v>-5000.9611715497849</v>
      </c>
      <c r="AT46" s="708">
        <f t="shared" si="7"/>
        <v>-5022.6136517346313</v>
      </c>
      <c r="AU46" s="708">
        <f t="shared" si="7"/>
        <v>-5044.078682586618</v>
      </c>
      <c r="AV46" s="425">
        <f t="shared" si="7"/>
        <v>-5065.3574823741665</v>
      </c>
    </row>
    <row r="47" spans="1:48" s="15" customFormat="1" ht="13.5" outlineLevel="1" x14ac:dyDescent="0.25">
      <c r="B47" s="684" t="s">
        <v>1648</v>
      </c>
      <c r="C47" s="685" t="s">
        <v>1573</v>
      </c>
      <c r="D47" s="708">
        <f>(D46+D45)*$C$20</f>
        <v>0</v>
      </c>
      <c r="E47" s="708">
        <f t="shared" ref="E47:L47" si="8">(E46+E45)*$C$20</f>
        <v>0</v>
      </c>
      <c r="F47" s="708">
        <f t="shared" si="8"/>
        <v>-385.37989900805741</v>
      </c>
      <c r="G47" s="708">
        <f t="shared" si="8"/>
        <v>-692.53959038793801</v>
      </c>
      <c r="H47" s="708">
        <f t="shared" si="8"/>
        <v>-852.63096327715618</v>
      </c>
      <c r="I47" s="708">
        <f t="shared" si="8"/>
        <v>-995.90974549234511</v>
      </c>
      <c r="J47" s="708">
        <f t="shared" si="8"/>
        <v>-1129.0394538682979</v>
      </c>
      <c r="K47" s="708">
        <f t="shared" si="8"/>
        <v>-1236.4316253028951</v>
      </c>
      <c r="L47" s="708">
        <f t="shared" si="8"/>
        <v>-1327.550604152982</v>
      </c>
      <c r="M47" s="708">
        <f t="shared" ref="M47" si="9">(M46+M45)*$C$20</f>
        <v>-1411.4049770719216</v>
      </c>
      <c r="N47" s="708">
        <f t="shared" ref="N47" si="10">(N46+N45)*$C$20</f>
        <v>-1233.5180243090897</v>
      </c>
      <c r="O47" s="708">
        <f t="shared" ref="O47" si="11">(O46+O45)*$C$20</f>
        <v>-1353.7213248776557</v>
      </c>
      <c r="P47" s="708">
        <f t="shared" ref="P47" si="12">(P46+P45)*$C$20</f>
        <v>-1424.3852388249422</v>
      </c>
      <c r="Q47" s="708">
        <f t="shared" ref="Q47" si="13">(Q46+Q45)*$C$20</f>
        <v>-1367.9240844395229</v>
      </c>
      <c r="R47" s="708">
        <f t="shared" ref="R47" si="14">(R46+R45)*$C$20</f>
        <v>-1473.8277416856902</v>
      </c>
      <c r="S47" s="708">
        <f t="shared" ref="S47:T47" si="15">(S46+S45)*$C$20</f>
        <v>-1580.6532222791527</v>
      </c>
      <c r="T47" s="708">
        <f t="shared" si="15"/>
        <v>-1654.9889520909703</v>
      </c>
      <c r="U47" s="708">
        <f t="shared" ref="U47" si="16">(U46+U45)*$C$20</f>
        <v>-1762.5845729769278</v>
      </c>
      <c r="V47" s="708">
        <f t="shared" ref="V47" si="17">(V46+V45)*$C$20</f>
        <v>-1866.173430844525</v>
      </c>
      <c r="W47" s="708">
        <f t="shared" ref="W47" si="18">(W46+W45)*$C$20</f>
        <v>-1977.6617075105598</v>
      </c>
      <c r="X47" s="708">
        <f t="shared" ref="X47" si="19">(X46+X45)*$C$20</f>
        <v>-2001.7461907011766</v>
      </c>
      <c r="Y47" s="708">
        <f t="shared" ref="Y47" si="20">(Y46+Y45)*$C$20</f>
        <v>-2113.6363861233822</v>
      </c>
      <c r="Z47" s="708">
        <f t="shared" ref="Z47" si="21">(Z46+Z45)*$C$20</f>
        <v>-2228.5145438522427</v>
      </c>
      <c r="AA47" s="708">
        <f t="shared" ref="AA47:AB47" si="22">(AA46+AA45)*$C$20</f>
        <v>-2346.6198766497814</v>
      </c>
      <c r="AB47" s="708">
        <f t="shared" si="22"/>
        <v>-2408.7425068942066</v>
      </c>
      <c r="AC47" s="708">
        <f t="shared" ref="AC47" si="23">(AC46+AC45)*$C$20</f>
        <v>-2405.5739199728991</v>
      </c>
      <c r="AD47" s="708">
        <f t="shared" ref="AD47" si="24">(AD46+AD45)*$C$20</f>
        <v>-2408.7879556926091</v>
      </c>
      <c r="AE47" s="708">
        <f t="shared" ref="AE47" si="25">(AE46+AE45)*$C$20</f>
        <v>-2412.3886797956125</v>
      </c>
      <c r="AF47" s="708">
        <f t="shared" ref="AF47" si="26">(AF46+AF45)*$C$20</f>
        <v>-2416.3759912209348</v>
      </c>
      <c r="AG47" s="708">
        <f t="shared" ref="AG47" si="27">(AG46+AG45)*$C$20</f>
        <v>-2420.7497922007601</v>
      </c>
      <c r="AH47" s="708">
        <f t="shared" ref="AH47" si="28">(AH46+AH45)*$C$20</f>
        <v>-2425.5099882247237</v>
      </c>
      <c r="AI47" s="708">
        <f t="shared" ref="AI47:AJ47" si="29">(AI46+AI45)*$C$20</f>
        <v>-2430.6564880044925</v>
      </c>
      <c r="AJ47" s="708">
        <f t="shared" si="29"/>
        <v>-2436.1892034386524</v>
      </c>
      <c r="AK47" s="708">
        <f t="shared" ref="AK47" si="30">(AK46+AK45)*$C$20</f>
        <v>-2442.1080495778965</v>
      </c>
      <c r="AL47" s="708">
        <f t="shared" ref="AL47" si="31">(AL46+AL45)*$C$20</f>
        <v>-2448.4129445904969</v>
      </c>
      <c r="AM47" s="708">
        <f t="shared" ref="AM47" si="32">(AM46+AM45)*$C$20</f>
        <v>-2455.1038097280843</v>
      </c>
      <c r="AN47" s="708">
        <f t="shared" ref="AN47" si="33">(AN46+AN45)*$C$20</f>
        <v>-2462.1805692917078</v>
      </c>
      <c r="AO47" s="708">
        <f t="shared" ref="AO47" si="34">(AO46+AO45)*$C$20</f>
        <v>-2469.6431505981891</v>
      </c>
      <c r="AP47" s="708">
        <f t="shared" ref="AP47" si="35">(AP46+AP45)*$C$20</f>
        <v>-2477.4914839467633</v>
      </c>
      <c r="AQ47" s="708">
        <f t="shared" ref="AQ47:AR47" si="36">(AQ46+AQ45)*$C$20</f>
        <v>-2485.725502585999</v>
      </c>
      <c r="AR47" s="708">
        <f t="shared" si="36"/>
        <v>-2494.3451426810102</v>
      </c>
      <c r="AS47" s="708">
        <f t="shared" ref="AS47" si="37">(AS46+AS45)*$C$20</f>
        <v>-2503.350343280938</v>
      </c>
      <c r="AT47" s="708">
        <f t="shared" ref="AT47" si="38">(AT46+AT45)*$C$20</f>
        <v>-2512.7410462867201</v>
      </c>
      <c r="AU47" s="708">
        <f t="shared" ref="AU47" si="39">(AU46+AU45)*$C$20</f>
        <v>-2522.5171964191272</v>
      </c>
      <c r="AV47" s="425">
        <f t="shared" ref="AV47" si="40">(AV46+AV45)*$C$20</f>
        <v>-2532.6787411870832</v>
      </c>
    </row>
    <row r="48" spans="1:48" s="39" customFormat="1" ht="13.5" outlineLevel="1" x14ac:dyDescent="0.25">
      <c r="B48" s="689" t="s">
        <v>1040</v>
      </c>
      <c r="C48" s="709" t="s">
        <v>1573</v>
      </c>
      <c r="D48" s="710">
        <f>SUM(D45:D47)</f>
        <v>0</v>
      </c>
      <c r="E48" s="710">
        <f t="shared" ref="E48:L48" si="41">SUM(E45:E47)</f>
        <v>0</v>
      </c>
      <c r="F48" s="710">
        <f t="shared" si="41"/>
        <v>-1156.1396970241722</v>
      </c>
      <c r="G48" s="710">
        <f t="shared" si="41"/>
        <v>-2077.618771163814</v>
      </c>
      <c r="H48" s="710">
        <f t="shared" si="41"/>
        <v>-2557.8928898314684</v>
      </c>
      <c r="I48" s="710">
        <f t="shared" si="41"/>
        <v>-2987.7292364770356</v>
      </c>
      <c r="J48" s="710">
        <f t="shared" si="41"/>
        <v>-3387.1183616048938</v>
      </c>
      <c r="K48" s="710">
        <f t="shared" si="41"/>
        <v>-3709.2948759086853</v>
      </c>
      <c r="L48" s="710">
        <f t="shared" si="41"/>
        <v>-3982.6518124589461</v>
      </c>
      <c r="M48" s="710">
        <f t="shared" ref="M48" si="42">SUM(M45:M47)</f>
        <v>-4234.2149312157653</v>
      </c>
      <c r="N48" s="710">
        <f t="shared" ref="N48" si="43">SUM(N45:N47)</f>
        <v>-3700.5540729272689</v>
      </c>
      <c r="O48" s="710">
        <f t="shared" ref="O48" si="44">SUM(O45:O47)</f>
        <v>-4061.163974632967</v>
      </c>
      <c r="P48" s="710">
        <f t="shared" ref="P48" si="45">SUM(P45:P47)</f>
        <v>-4273.1557164748265</v>
      </c>
      <c r="Q48" s="710">
        <f t="shared" ref="Q48" si="46">SUM(Q45:Q47)</f>
        <v>-4103.7722533185688</v>
      </c>
      <c r="R48" s="710">
        <f t="shared" ref="R48" si="47">SUM(R45:R47)</f>
        <v>-4421.4832250570707</v>
      </c>
      <c r="S48" s="710">
        <f t="shared" ref="S48:T48" si="48">SUM(S45:S47)</f>
        <v>-4741.9596668374579</v>
      </c>
      <c r="T48" s="710">
        <f t="shared" si="48"/>
        <v>-4964.9668562729112</v>
      </c>
      <c r="U48" s="710">
        <f t="shared" ref="U48" si="49">SUM(U45:U47)</f>
        <v>-5287.7537189307832</v>
      </c>
      <c r="V48" s="710">
        <f t="shared" ref="V48" si="50">SUM(V45:V47)</f>
        <v>-5598.5202925335752</v>
      </c>
      <c r="W48" s="710">
        <f t="shared" ref="W48" si="51">SUM(W45:W47)</f>
        <v>-5932.9851225316797</v>
      </c>
      <c r="X48" s="710">
        <f t="shared" ref="X48" si="52">SUM(X45:X47)</f>
        <v>-6005.2385721035298</v>
      </c>
      <c r="Y48" s="710">
        <f t="shared" ref="Y48" si="53">SUM(Y45:Y47)</f>
        <v>-6340.9091583701465</v>
      </c>
      <c r="Z48" s="710">
        <f t="shared" ref="Z48" si="54">SUM(Z45:Z47)</f>
        <v>-6685.5436315567276</v>
      </c>
      <c r="AA48" s="710">
        <f t="shared" ref="AA48:AB48" si="55">SUM(AA45:AA47)</f>
        <v>-7039.8596299493438</v>
      </c>
      <c r="AB48" s="710">
        <f t="shared" si="55"/>
        <v>-7226.2275206826198</v>
      </c>
      <c r="AC48" s="710">
        <f t="shared" ref="AC48" si="56">SUM(AC45:AC47)</f>
        <v>-7216.721759918697</v>
      </c>
      <c r="AD48" s="710">
        <f t="shared" ref="AD48" si="57">SUM(AD45:AD47)</f>
        <v>-7226.3638670778273</v>
      </c>
      <c r="AE48" s="710">
        <f t="shared" ref="AE48" si="58">SUM(AE45:AE47)</f>
        <v>-7237.1660393868369</v>
      </c>
      <c r="AF48" s="710">
        <f t="shared" ref="AF48" si="59">SUM(AF45:AF47)</f>
        <v>-7249.1279736628039</v>
      </c>
      <c r="AG48" s="710">
        <f t="shared" ref="AG48" si="60">SUM(AG45:AG47)</f>
        <v>-7262.2493766022799</v>
      </c>
      <c r="AH48" s="710">
        <f t="shared" ref="AH48" si="61">SUM(AH45:AH47)</f>
        <v>-7276.5299646741714</v>
      </c>
      <c r="AI48" s="710">
        <f t="shared" ref="AI48:AJ48" si="62">SUM(AI45:AI47)</f>
        <v>-7291.9694640134776</v>
      </c>
      <c r="AJ48" s="710">
        <f t="shared" si="62"/>
        <v>-7308.5676103159567</v>
      </c>
      <c r="AK48" s="710">
        <f t="shared" ref="AK48" si="63">SUM(AK45:AK47)</f>
        <v>-7326.3241487336891</v>
      </c>
      <c r="AL48" s="710">
        <f t="shared" ref="AL48" si="64">SUM(AL45:AL47)</f>
        <v>-7345.238833771491</v>
      </c>
      <c r="AM48" s="710">
        <f t="shared" ref="AM48" si="65">SUM(AM45:AM47)</f>
        <v>-7365.311429184253</v>
      </c>
      <c r="AN48" s="710">
        <f t="shared" ref="AN48" si="66">SUM(AN45:AN47)</f>
        <v>-7386.5417078751234</v>
      </c>
      <c r="AO48" s="710">
        <f t="shared" ref="AO48" si="67">SUM(AO45:AO47)</f>
        <v>-7408.9294517945673</v>
      </c>
      <c r="AP48" s="710">
        <f t="shared" ref="AP48" si="68">SUM(AP45:AP47)</f>
        <v>-7432.4744518402895</v>
      </c>
      <c r="AQ48" s="710">
        <f t="shared" ref="AQ48:AR48" si="69">SUM(AQ45:AQ47)</f>
        <v>-7457.1765077579967</v>
      </c>
      <c r="AR48" s="710">
        <f t="shared" si="69"/>
        <v>-7483.0354280430311</v>
      </c>
      <c r="AS48" s="710">
        <f t="shared" ref="AS48" si="70">SUM(AS45:AS47)</f>
        <v>-7510.0510298428144</v>
      </c>
      <c r="AT48" s="710">
        <f t="shared" ref="AT48" si="71">SUM(AT45:AT47)</f>
        <v>-7538.2231388601604</v>
      </c>
      <c r="AU48" s="710">
        <f t="shared" ref="AU48" si="72">SUM(AU45:AU47)</f>
        <v>-7567.5515892573821</v>
      </c>
      <c r="AV48" s="426">
        <f t="shared" ref="AV48" si="73">SUM(AV45:AV47)</f>
        <v>-7598.0362235612502</v>
      </c>
    </row>
    <row r="49" spans="2:48" s="15" customFormat="1" ht="13.5" outlineLevel="1" x14ac:dyDescent="0.25">
      <c r="B49" s="678" t="s">
        <v>1649</v>
      </c>
      <c r="C49" s="674"/>
      <c r="D49" s="675"/>
      <c r="E49" s="675"/>
      <c r="F49" s="675"/>
      <c r="G49" s="675"/>
      <c r="H49" s="675"/>
      <c r="I49" s="675"/>
      <c r="J49" s="675"/>
      <c r="K49" s="675"/>
      <c r="L49" s="675"/>
      <c r="M49" s="675"/>
      <c r="N49" s="675"/>
      <c r="O49" s="675"/>
      <c r="P49" s="675"/>
      <c r="Q49" s="675"/>
      <c r="R49" s="675"/>
      <c r="S49" s="675"/>
      <c r="T49" s="675"/>
      <c r="U49" s="675"/>
      <c r="V49" s="675"/>
      <c r="W49" s="675"/>
      <c r="X49" s="675"/>
      <c r="Y49" s="675"/>
      <c r="Z49" s="675"/>
      <c r="AA49" s="675"/>
      <c r="AB49" s="675"/>
      <c r="AC49" s="675"/>
      <c r="AD49" s="675"/>
      <c r="AE49" s="675"/>
      <c r="AF49" s="675"/>
      <c r="AG49" s="675"/>
      <c r="AH49" s="675"/>
      <c r="AI49" s="675"/>
      <c r="AJ49" s="675"/>
      <c r="AK49" s="675"/>
      <c r="AL49" s="675"/>
      <c r="AM49" s="675"/>
      <c r="AN49" s="675"/>
      <c r="AO49" s="675"/>
      <c r="AP49" s="675"/>
      <c r="AQ49" s="675"/>
      <c r="AR49" s="675"/>
      <c r="AS49" s="675"/>
      <c r="AT49" s="675"/>
      <c r="AU49" s="675"/>
      <c r="AV49" s="676"/>
    </row>
    <row r="50" spans="2:48" s="15" customFormat="1" ht="13.5" outlineLevel="1" x14ac:dyDescent="0.25">
      <c r="B50" s="671" t="s">
        <v>1255</v>
      </c>
      <c r="C50" s="679" t="s">
        <v>708</v>
      </c>
      <c r="D50" s="680">
        <f>SISENDID!E293*D43</f>
        <v>0</v>
      </c>
      <c r="E50" s="680">
        <f>SISENDID!F293*E43</f>
        <v>0</v>
      </c>
      <c r="F50" s="680">
        <f>SISENDID!G293*F43</f>
        <v>12.356892583120205</v>
      </c>
      <c r="G50" s="680">
        <f>SISENDID!H293*G43</f>
        <v>24.634509803921567</v>
      </c>
      <c r="H50" s="680">
        <f>SISENDID!I293*H43</f>
        <v>33.601254865282819</v>
      </c>
      <c r="I50" s="680">
        <f>SISENDID!J293*I43</f>
        <v>43.366396086361739</v>
      </c>
      <c r="J50" s="680">
        <f>SISENDID!K293*J43</f>
        <v>54.090241484763773</v>
      </c>
      <c r="K50" s="680">
        <f>SISENDID!L293*K43</f>
        <v>64.76698543389044</v>
      </c>
      <c r="L50" s="680">
        <f>SISENDID!M293*L43</f>
        <v>75.39662793374174</v>
      </c>
      <c r="M50" s="680">
        <f>SISENDID!N293*M43</f>
        <v>85.979168984317667</v>
      </c>
      <c r="N50" s="680">
        <f>SISENDID!O293*N43</f>
        <v>77.730427925563532</v>
      </c>
      <c r="O50" s="680">
        <f>SISENDID!P293*O43</f>
        <v>86.131634893138241</v>
      </c>
      <c r="P50" s="680">
        <f>SISENDID!Q293*P43</f>
        <v>91.377044759263654</v>
      </c>
      <c r="Q50" s="680">
        <f>SISENDID!R293*Q43</f>
        <v>88.357531091516464</v>
      </c>
      <c r="R50" s="680">
        <f>SISENDID!S293*R43</f>
        <v>95.72065868247617</v>
      </c>
      <c r="S50" s="680">
        <f>SISENDID!T293*S43</f>
        <v>103.08378627343588</v>
      </c>
      <c r="T50" s="680">
        <f>SISENDID!U293*T43</f>
        <v>108.23686162307436</v>
      </c>
      <c r="U50" s="680">
        <f>SISENDID!V293*U43</f>
        <v>115.452652397946</v>
      </c>
      <c r="V50" s="680">
        <f>SISENDID!W293*V43</f>
        <v>122.27707975508365</v>
      </c>
      <c r="W50" s="680">
        <f>SISENDID!X293*W43</f>
        <v>129.4698491524415</v>
      </c>
      <c r="X50" s="680">
        <f>SISENDID!Y293*X43</f>
        <v>130.78387958788497</v>
      </c>
      <c r="Y50" s="680">
        <f>SISENDID!Z293*Y43</f>
        <v>137.66724167145787</v>
      </c>
      <c r="Z50" s="680">
        <f>SISENDID!AA293*Z43</f>
        <v>144.55060375503078</v>
      </c>
      <c r="AA50" s="680">
        <f>SISENDID!AB293*AA43</f>
        <v>151.43396583860368</v>
      </c>
      <c r="AB50" s="680">
        <f>SISENDID!AC293*AB43</f>
        <v>154.50498780589757</v>
      </c>
      <c r="AC50" s="680">
        <f>SISENDID!AD293*AC43</f>
        <v>154.50498780589757</v>
      </c>
      <c r="AD50" s="680">
        <f>SISENDID!AE293*AD43</f>
        <v>154.50498780589757</v>
      </c>
      <c r="AE50" s="680">
        <f>SISENDID!AF293*AE43</f>
        <v>154.50498780589757</v>
      </c>
      <c r="AF50" s="680">
        <f>SISENDID!AG293*AF43</f>
        <v>154.50498780589757</v>
      </c>
      <c r="AG50" s="680">
        <f>SISENDID!AH293*AG43</f>
        <v>154.50498780589757</v>
      </c>
      <c r="AH50" s="680">
        <f>SISENDID!AI293*AH43</f>
        <v>154.50498780589757</v>
      </c>
      <c r="AI50" s="680">
        <f>SISENDID!AJ293*AI43</f>
        <v>154.50498780589757</v>
      </c>
      <c r="AJ50" s="680">
        <f>SISENDID!AK293*AJ43</f>
        <v>154.50498780589757</v>
      </c>
      <c r="AK50" s="680">
        <f>SISENDID!AL293*AK43</f>
        <v>154.50498780589757</v>
      </c>
      <c r="AL50" s="680">
        <f>SISENDID!AM293*AL43</f>
        <v>154.50498780589757</v>
      </c>
      <c r="AM50" s="680">
        <f>SISENDID!AN293*AM43</f>
        <v>154.50498780589757</v>
      </c>
      <c r="AN50" s="680">
        <f>SISENDID!AO293*AN43</f>
        <v>154.50498780589757</v>
      </c>
      <c r="AO50" s="680">
        <f>SISENDID!AP293*AO43</f>
        <v>154.50498780589757</v>
      </c>
      <c r="AP50" s="680">
        <f>SISENDID!AQ293*AP43</f>
        <v>154.50498780589757</v>
      </c>
      <c r="AQ50" s="680">
        <f>SISENDID!AR293*AQ43</f>
        <v>154.50498780589757</v>
      </c>
      <c r="AR50" s="680">
        <f>SISENDID!AS293*AR43</f>
        <v>154.50498780589757</v>
      </c>
      <c r="AS50" s="680">
        <f>SISENDID!AT293*AS43</f>
        <v>154.50498780589757</v>
      </c>
      <c r="AT50" s="680">
        <f>SISENDID!AU293*AT43</f>
        <v>154.50498780589757</v>
      </c>
      <c r="AU50" s="680">
        <f>SISENDID!AV293*AU43</f>
        <v>154.50498780589757</v>
      </c>
      <c r="AV50" s="669">
        <f>SISENDID!AW293*AV43</f>
        <v>154.50498780589757</v>
      </c>
    </row>
    <row r="51" spans="2:48" s="15" customFormat="1" ht="13.5" outlineLevel="1" x14ac:dyDescent="0.25">
      <c r="B51" s="671" t="s">
        <v>1650</v>
      </c>
      <c r="C51" s="679" t="s">
        <v>1286</v>
      </c>
      <c r="D51" s="682">
        <f>D50*1000*SISENDID!E225*SISENDID!E261/100</f>
        <v>0</v>
      </c>
      <c r="E51" s="682">
        <f>E50*1000*SISENDID!F225*SISENDID!F261/100</f>
        <v>0</v>
      </c>
      <c r="F51" s="682">
        <f>F50*1000*SISENDID!G225*SISENDID!G261/100</f>
        <v>419.59811927788468</v>
      </c>
      <c r="G51" s="682">
        <f>G50*1000*SISENDID!H225*SISENDID!H261/100</f>
        <v>709.92147716379429</v>
      </c>
      <c r="H51" s="682">
        <f>H50*1000*SISENDID!I225*SISENDID!I261/100</f>
        <v>811.01852103289491</v>
      </c>
      <c r="I51" s="682">
        <f>I50*1000*SISENDID!J225*SISENDID!J261/100</f>
        <v>862.94315820694624</v>
      </c>
      <c r="J51" s="682">
        <f>J50*1000*SISENDID!K225*SISENDID!K261/100</f>
        <v>870.45025036216816</v>
      </c>
      <c r="K51" s="682">
        <f>K50*1000*SISENDID!L225*SISENDID!L261/100</f>
        <v>822.8760541931116</v>
      </c>
      <c r="L51" s="682">
        <f>L50*1000*SISENDID!M225*SISENDID!M261/100</f>
        <v>733.20372327728705</v>
      </c>
      <c r="M51" s="682">
        <f>M50*1000*SISENDID!N225*SISENDID!N261/100</f>
        <v>613.80496145363043</v>
      </c>
      <c r="N51" s="682">
        <f>N50*1000*SISENDID!O225*SISENDID!O261/100</f>
        <v>470.42777920845515</v>
      </c>
      <c r="O51" s="682">
        <f>O50*1000*SISENDID!P225*SISENDID!P261/100</f>
        <v>473.141930818942</v>
      </c>
      <c r="P51" s="682">
        <f>P50*1000*SISENDID!Q225*SISENDID!Q261/100</f>
        <v>453.97845810512757</v>
      </c>
      <c r="Q51" s="682">
        <f>Q50*1000*SISENDID!R225*SISENDID!R261/100</f>
        <v>395.46884344071259</v>
      </c>
      <c r="R51" s="682">
        <f>R50*1000*SISENDID!S225*SISENDID!S261/100</f>
        <v>384.31257903448682</v>
      </c>
      <c r="S51" s="682">
        <f>S50*1000*SISENDID!T225*SISENDID!T261/100</f>
        <v>369.51618347247552</v>
      </c>
      <c r="T51" s="682">
        <f>T50*1000*SISENDID!U225*SISENDID!U261/100</f>
        <v>344.60492555479448</v>
      </c>
      <c r="U51" s="682">
        <f>U50*1000*SISENDID!V225*SISENDID!V261/100</f>
        <v>324.5948968233522</v>
      </c>
      <c r="V51" s="682">
        <f>V50*1000*SISENDID!W225*SISENDID!W261/100</f>
        <v>301.62527543625981</v>
      </c>
      <c r="W51" s="682">
        <f>W50*1000*SISENDID!X225*SISENDID!X261/100</f>
        <v>278.17592666024603</v>
      </c>
      <c r="X51" s="682">
        <f>X50*1000*SISENDID!Y225*SISENDID!Y261/100</f>
        <v>242.74854949511717</v>
      </c>
      <c r="Y51" s="682">
        <f>Y50*1000*SISENDID!Z225*SISENDID!Z261/100</f>
        <v>218.67436926615133</v>
      </c>
      <c r="Z51" s="682">
        <f>Z50*1000*SISENDID!AA225*SISENDID!AA261/100</f>
        <v>194.37378030922332</v>
      </c>
      <c r="AA51" s="682">
        <f>AA50*1000*SISENDID!AB225*SISENDID!AB261/100</f>
        <v>170.212919502082</v>
      </c>
      <c r="AB51" s="682">
        <f>AB50*1000*SISENDID!AC225*SISENDID!AC261/100</f>
        <v>143.00954430048111</v>
      </c>
      <c r="AC51" s="682">
        <f>AC50*1000*SISENDID!AD225*SISENDID!AD261/100</f>
        <v>122.09598556189574</v>
      </c>
      <c r="AD51" s="682">
        <f>AD50*1000*SISENDID!AE225*SISENDID!AE261/100</f>
        <v>109.83217564185395</v>
      </c>
      <c r="AE51" s="682">
        <f>AE50*1000*SISENDID!AF225*SISENDID!AF261/100</f>
        <v>98.222631615366154</v>
      </c>
      <c r="AF51" s="682">
        <f>AF50*1000*SISENDID!AG225*SISENDID!AG261/100</f>
        <v>87.266320486479287</v>
      </c>
      <c r="AG51" s="682">
        <f>AG50*1000*SISENDID!AH225*SISENDID!AH261/100</f>
        <v>76.962219282002025</v>
      </c>
      <c r="AH51" s="682">
        <f>AH50*1000*SISENDID!AI225*SISENDID!AI261/100</f>
        <v>67.309314969255681</v>
      </c>
      <c r="AI51" s="682">
        <f>AI50*1000*SISENDID!AJ225*SISENDID!AJ261/100</f>
        <v>58.306604374435771</v>
      </c>
      <c r="AJ51" s="682">
        <f>AJ50*1000*SISENDID!AK225*SISENDID!AK261/100</f>
        <v>49.953094101581044</v>
      </c>
      <c r="AK51" s="682">
        <f>AK50*1000*SISENDID!AL225*SISENDID!AL261/100</f>
        <v>42.247800452144787</v>
      </c>
      <c r="AL51" s="682">
        <f>AL50*1000*SISENDID!AM225*SISENDID!AM261/100</f>
        <v>35.189749345164785</v>
      </c>
      <c r="AM51" s="682">
        <f>AM50*1000*SISENDID!AN225*SISENDID!AN261/100</f>
        <v>28.777976238027559</v>
      </c>
      <c r="AN51" s="682">
        <f>AN50*1000*SISENDID!AO225*SISENDID!AO261/100</f>
        <v>23.011526047822844</v>
      </c>
      <c r="AO51" s="682">
        <f>AO50*1000*SISENDID!AP225*SISENDID!AP261/100</f>
        <v>17.889453073284063</v>
      </c>
      <c r="AP51" s="682">
        <f>AP50*1000*SISENDID!AQ225*SISENDID!AQ261/100</f>
        <v>13.410820917310762</v>
      </c>
      <c r="AQ51" s="682">
        <f>AQ50*1000*SISENDID!AR225*SISENDID!AR261/100</f>
        <v>9.5747024100691025</v>
      </c>
      <c r="AR51" s="682">
        <f>AR50*1000*SISENDID!AS225*SISENDID!AS261/100</f>
        <v>6.3801795326660917</v>
      </c>
      <c r="AS51" s="682">
        <f>AS50*1000*SISENDID!AT225*SISENDID!AT261/100</f>
        <v>3.826343341393811</v>
      </c>
      <c r="AT51" s="682">
        <f>AT50*1000*SISENDID!AU225*SISENDID!AU261/100</f>
        <v>1.912293892539499</v>
      </c>
      <c r="AU51" s="682">
        <f>AU50*1000*SISENDID!AV225*SISENDID!AV261/100</f>
        <v>0.63714016775762805</v>
      </c>
      <c r="AV51" s="428">
        <f>AV50*1000*SISENDID!AW225*SISENDID!AW261/100</f>
        <v>0</v>
      </c>
    </row>
    <row r="52" spans="2:48" s="15" customFormat="1" ht="13.5" outlineLevel="1" x14ac:dyDescent="0.25">
      <c r="B52" s="671" t="s">
        <v>1650</v>
      </c>
      <c r="C52" s="679" t="s">
        <v>659</v>
      </c>
      <c r="D52" s="682">
        <f>D51*SISENDID!$E$418</f>
        <v>0</v>
      </c>
      <c r="E52" s="682">
        <f>E51*SISENDID!$E$418</f>
        <v>0</v>
      </c>
      <c r="F52" s="682">
        <f>F51*SISENDID!$E$418</f>
        <v>4153.2661042363579</v>
      </c>
      <c r="G52" s="682">
        <f>G51*SISENDID!$E$418</f>
        <v>7026.9447652626677</v>
      </c>
      <c r="H52" s="682">
        <f>H51*SISENDID!$E$418</f>
        <v>8027.6235248878002</v>
      </c>
      <c r="I52" s="682">
        <f>I51*SISENDID!$E$418</f>
        <v>8541.5839685639949</v>
      </c>
      <c r="J52" s="682">
        <f>J51*SISENDID!$E$418</f>
        <v>8615.8906681348126</v>
      </c>
      <c r="K52" s="682">
        <f>K51*SISENDID!$E$418</f>
        <v>8144.9917596142568</v>
      </c>
      <c r="L52" s="682">
        <f>L51*SISENDID!$E$418</f>
        <v>7257.3970937432423</v>
      </c>
      <c r="M52" s="682">
        <f>M51*SISENDID!$E$418</f>
        <v>6075.5642694603239</v>
      </c>
      <c r="N52" s="682">
        <f>N51*SISENDID!$E$418</f>
        <v>4656.3882441611304</v>
      </c>
      <c r="O52" s="682">
        <f>O51*SISENDID!$E$418</f>
        <v>4683.2534596320511</v>
      </c>
      <c r="P52" s="682">
        <f>P51*SISENDID!$E$418</f>
        <v>4493.5695740161736</v>
      </c>
      <c r="Q52" s="682">
        <f>Q51*SISENDID!$E$418</f>
        <v>3914.429706144861</v>
      </c>
      <c r="R52" s="682">
        <f>R51*SISENDID!$E$418</f>
        <v>3804.0027697991572</v>
      </c>
      <c r="S52" s="682">
        <f>S51*SISENDID!$E$418</f>
        <v>3657.545087247257</v>
      </c>
      <c r="T52" s="682">
        <f>T51*SISENDID!$E$418</f>
        <v>3410.9684741264664</v>
      </c>
      <c r="U52" s="682">
        <f>U51*SISENDID!$E$418</f>
        <v>3212.9052077369047</v>
      </c>
      <c r="V52" s="682">
        <f>V51*SISENDID!$E$418</f>
        <v>2985.5473013231867</v>
      </c>
      <c r="W52" s="682">
        <f>W51*SISENDID!$E$418</f>
        <v>2753.4409572684472</v>
      </c>
      <c r="X52" s="682">
        <f>X51*SISENDID!$E$418</f>
        <v>2402.7736926125685</v>
      </c>
      <c r="Y52" s="682">
        <f>Y51*SISENDID!$E$418</f>
        <v>2164.4826418702191</v>
      </c>
      <c r="Z52" s="682">
        <f>Z51*SISENDID!$E$418</f>
        <v>1923.950552256754</v>
      </c>
      <c r="AA52" s="682">
        <f>AA51*SISENDID!$E$418</f>
        <v>1684.8015198155078</v>
      </c>
      <c r="AB52" s="682">
        <f>AB51*SISENDID!$E$418</f>
        <v>1415.5370713950219</v>
      </c>
      <c r="AC52" s="682">
        <f>AC51*SISENDID!$E$418</f>
        <v>1208.5304842887563</v>
      </c>
      <c r="AD52" s="682">
        <f>AD51*SISENDID!$E$418</f>
        <v>1087.1408409381986</v>
      </c>
      <c r="AE52" s="682">
        <f>AE51*SISENDID!$E$418</f>
        <v>972.22725225521719</v>
      </c>
      <c r="AF52" s="682">
        <f>AF51*SISENDID!$E$418</f>
        <v>863.77949343926923</v>
      </c>
      <c r="AG52" s="682">
        <f>AG51*SISENDID!$E$418</f>
        <v>761.78743889711234</v>
      </c>
      <c r="AH52" s="682">
        <f>AH51*SISENDID!$E$418</f>
        <v>666.24106142868652</v>
      </c>
      <c r="AI52" s="682">
        <f>AI51*SISENDID!$E$418</f>
        <v>577.13043141904006</v>
      </c>
      <c r="AJ52" s="682">
        <f>AJ51*SISENDID!$E$418</f>
        <v>494.44571603626946</v>
      </c>
      <c r="AK52" s="682">
        <f>AK51*SISENDID!$E$418</f>
        <v>418.17717843541948</v>
      </c>
      <c r="AL52" s="682">
        <f>AL51*SISENDID!$E$418</f>
        <v>348.31517696831003</v>
      </c>
      <c r="AM52" s="682">
        <f>AM51*SISENDID!$E$418</f>
        <v>284.85016439924436</v>
      </c>
      <c r="AN52" s="682">
        <f>AN51*SISENDID!$E$418</f>
        <v>227.77268712656007</v>
      </c>
      <c r="AO52" s="682">
        <f>AO51*SISENDID!$E$418</f>
        <v>177.07338440998029</v>
      </c>
      <c r="AP52" s="682">
        <f>AP51*SISENDID!$E$418</f>
        <v>132.74298760372537</v>
      </c>
      <c r="AQ52" s="682">
        <f>AQ51*SISENDID!$E$418</f>
        <v>94.772319395345988</v>
      </c>
      <c r="AR52" s="682">
        <f>AR51*SISENDID!$E$418</f>
        <v>63.152293050235507</v>
      </c>
      <c r="AS52" s="682">
        <f>AS51*SISENDID!$E$418</f>
        <v>37.87391166178422</v>
      </c>
      <c r="AT52" s="682">
        <f>AT51*SISENDID!$E$418</f>
        <v>18.928267407134467</v>
      </c>
      <c r="AU52" s="682">
        <f>AU51*SISENDID!$E$418</f>
        <v>6.3065408084985535</v>
      </c>
      <c r="AV52" s="428">
        <f>AV51*SISENDID!$E$418</f>
        <v>0</v>
      </c>
    </row>
    <row r="53" spans="2:48" s="15" customFormat="1" ht="13.5" outlineLevel="1" x14ac:dyDescent="0.25">
      <c r="B53" s="671" t="s">
        <v>1651</v>
      </c>
      <c r="C53" s="679" t="s">
        <v>659</v>
      </c>
      <c r="D53" s="682">
        <f>D50*1000*(SISENDID!E226+SISENDID!E228)*(SISENDID!F248+SISENDID!F250)/2/100</f>
        <v>0</v>
      </c>
      <c r="E53" s="682">
        <f>E50*1000*(SISENDID!F226+SISENDID!F228)*(SISENDID!G248+SISENDID!G250)/2/100</f>
        <v>0</v>
      </c>
      <c r="F53" s="682">
        <f>F50*1000*(SISENDID!G226+SISENDID!G228)*(SISENDID!H248+SISENDID!H250)/2/100</f>
        <v>706.81309549643925</v>
      </c>
      <c r="G53" s="682">
        <f>G50*1000*(SISENDID!H226+SISENDID!H228)*(SISENDID!I248+SISENDID!I250)/2/100</f>
        <v>1600.9848251509225</v>
      </c>
      <c r="H53" s="682">
        <f>H50*1000*(SISENDID!I226+SISENDID!I228)*(SISENDID!J248+SISENDID!J250)/2/100</f>
        <v>2443.6707250248501</v>
      </c>
      <c r="I53" s="682">
        <f>I50*1000*(SISENDID!J226+SISENDID!J228)*(SISENDID!K248+SISENDID!K250)/2/100</f>
        <v>3487.023768371354</v>
      </c>
      <c r="J53" s="682">
        <f>J50*1000*(SISENDID!K226+SISENDID!K228)*(SISENDID!L248+SISENDID!L250)/2/100</f>
        <v>4762.017660966716</v>
      </c>
      <c r="K53" s="682">
        <f>K50*1000*(SISENDID!L226+SISENDID!L228)*(SISENDID!M248+SISENDID!M250)/2/100</f>
        <v>6192.745846580613</v>
      </c>
      <c r="L53" s="682">
        <f>L50*1000*(SISENDID!M226+SISENDID!M228)*(SISENDID!N248+SISENDID!N250)/2/100</f>
        <v>7776.4781169501666</v>
      </c>
      <c r="M53" s="682">
        <f>M50*1000*(SISENDID!N226+SISENDID!N228)*(SISENDID!O248+SISENDID!O250)/2/100</f>
        <v>9510.512559816987</v>
      </c>
      <c r="N53" s="682">
        <f>N50*1000*(SISENDID!O226+SISENDID!O228)*(SISENDID!P248+SISENDID!P250)/2/100</f>
        <v>8806.9718990274832</v>
      </c>
      <c r="O53" s="682">
        <f>O50*1000*(SISENDID!P226+SISENDID!P228)*(SISENDID!Q248+SISENDID!Q250)/2/100</f>
        <v>9988.6487676344896</v>
      </c>
      <c r="P53" s="682">
        <f>P50*1000*(SISENDID!Q226+SISENDID!Q228)*(SISENDID!R248+SISENDID!R250)/2/100</f>
        <v>10839.013952460966</v>
      </c>
      <c r="Q53" s="682">
        <f>Q50*1000*(SISENDID!R226+SISENDID!R228)*(SISENDID!S248+SISENDID!S250)/2/100</f>
        <v>10713.224518589885</v>
      </c>
      <c r="R53" s="682">
        <f>R50*1000*(SISENDID!S226+SISENDID!S228)*(SISENDID!T248+SISENDID!T250)/2/100</f>
        <v>11855.93307409825</v>
      </c>
      <c r="S53" s="682">
        <f>S50*1000*(SISENDID!T226+SISENDID!T228)*(SISENDID!U248+SISENDID!U250)/2/100</f>
        <v>13035.16084674796</v>
      </c>
      <c r="T53" s="682">
        <f>T50*1000*(SISENDID!U226+SISENDID!U228)*(SISENDID!V248+SISENDID!V250)/2/100</f>
        <v>13965.352579248743</v>
      </c>
      <c r="U53" s="682">
        <f>U50*1000*(SISENDID!V226+SISENDID!V228)*(SISENDID!W248+SISENDID!W250)/2/100</f>
        <v>15191.384003594136</v>
      </c>
      <c r="V53" s="682">
        <f>V50*1000*(SISENDID!W226+SISENDID!W228)*(SISENDID!X248+SISENDID!X250)/2/100</f>
        <v>16399.544742673301</v>
      </c>
      <c r="W53" s="682">
        <f>W50*1000*(SISENDID!X226+SISENDID!X228)*(SISENDID!Y248+SISENDID!Y250)/2/100</f>
        <v>17690.297625153751</v>
      </c>
      <c r="X53" s="682">
        <f>X50*1000*(SISENDID!Y226+SISENDID!Y228)*(SISENDID!Z248+SISENDID!Z250)/2/100</f>
        <v>18196.847785798385</v>
      </c>
      <c r="Y53" s="682">
        <f>Y50*1000*(SISENDID!Z226+SISENDID!Z228)*(SISENDID!AA248+SISENDID!AA250)/2/100</f>
        <v>19496.306091737686</v>
      </c>
      <c r="Z53" s="682">
        <f>Z50*1000*(SISENDID!AA226+SISENDID!AA228)*(SISENDID!AB248+SISENDID!AB250)/2/100</f>
        <v>20827.342086203251</v>
      </c>
      <c r="AA53" s="682">
        <f>AA50*1000*(SISENDID!AB226+SISENDID!AB228)*(SISENDID!AC248+SISENDID!AC250)/2/100</f>
        <v>22189.6018702322</v>
      </c>
      <c r="AB53" s="682">
        <f>AB50*1000*(SISENDID!AC226+SISENDID!AC228)*(SISENDID!AD248+SISENDID!AD250)/2/100</f>
        <v>23014.853486688455</v>
      </c>
      <c r="AC53" s="682">
        <f>AC50*1000*(SISENDID!AD226+SISENDID!AD228)*(SISENDID!AE248+SISENDID!AE250)/2/100</f>
        <v>23140.019308014776</v>
      </c>
      <c r="AD53" s="682">
        <f>AD50*1000*(SISENDID!AE226+SISENDID!AE228)*(SISENDID!AF248+SISENDID!AF250)/2/100</f>
        <v>23264.138239612184</v>
      </c>
      <c r="AE53" s="682">
        <f>AE50*1000*(SISENDID!AF226+SISENDID!AF228)*(SISENDID!AG248+SISENDID!AG250)/2/100</f>
        <v>23387.217060840878</v>
      </c>
      <c r="AF53" s="682">
        <f>AF50*1000*(SISENDID!AG226+SISENDID!AG228)*(SISENDID!AH248+SISENDID!AH250)/2/100</f>
        <v>23509.262508560754</v>
      </c>
      <c r="AG53" s="682">
        <f>AG50*1000*(SISENDID!AH226+SISENDID!AH228)*(SISENDID!AI248+SISENDID!AI250)/2/100</f>
        <v>23630.281277392587</v>
      </c>
      <c r="AH53" s="682">
        <f>AH50*1000*(SISENDID!AI226+SISENDID!AI228)*(SISENDID!AJ248+SISENDID!AJ250)/2/100</f>
        <v>23750.280019977818</v>
      </c>
      <c r="AI53" s="682">
        <f>AI50*1000*(SISENDID!AJ226+SISENDID!AJ228)*(SISENDID!AK248+SISENDID!AK250)/2/100</f>
        <v>23869.265347236655</v>
      </c>
      <c r="AJ53" s="682">
        <f>AJ50*1000*(SISENDID!AK226+SISENDID!AK228)*(SISENDID!AL248+SISENDID!AL250)/2/100</f>
        <v>23987.243828624665</v>
      </c>
      <c r="AK53" s="682">
        <f>AK50*1000*(SISENDID!AL226+SISENDID!AL228)*(SISENDID!AM248+SISENDID!AM250)/2/100</f>
        <v>24104.22199238788</v>
      </c>
      <c r="AL53" s="682">
        <f>AL50*1000*(SISENDID!AM226+SISENDID!AM228)*(SISENDID!AN248+SISENDID!AN250)/2/100</f>
        <v>24220.206325816234</v>
      </c>
      <c r="AM53" s="682">
        <f>AM50*1000*(SISENDID!AN226+SISENDID!AN228)*(SISENDID!AO248+SISENDID!AO250)/2/100</f>
        <v>24335.203275495638</v>
      </c>
      <c r="AN53" s="682">
        <f>AN50*1000*(SISENDID!AO226+SISENDID!AO228)*(SISENDID!AP248+SISENDID!AP250)/2/100</f>
        <v>24449.219247558409</v>
      </c>
      <c r="AO53" s="682">
        <f>AO50*1000*(SISENDID!AP226+SISENDID!AP228)*(SISENDID!AQ248+SISENDID!AQ250)/2/100</f>
        <v>24562.260607932261</v>
      </c>
      <c r="AP53" s="682">
        <f>AP50*1000*(SISENDID!AQ226+SISENDID!AQ228)*(SISENDID!AR248+SISENDID!AR250)/2/100</f>
        <v>24674.333682587803</v>
      </c>
      <c r="AQ53" s="682">
        <f>AQ50*1000*(SISENDID!AR226+SISENDID!AR228)*(SISENDID!AS248+SISENDID!AS250)/2/100</f>
        <v>24785.444757784469</v>
      </c>
      <c r="AR53" s="682">
        <f>AR50*1000*(SISENDID!AS226+SISENDID!AS228)*(SISENDID!AT248+SISENDID!AT250)/2/100</f>
        <v>24895.600080315104</v>
      </c>
      <c r="AS53" s="682">
        <f>AS50*1000*(SISENDID!AT226+SISENDID!AT228)*(SISENDID!AU248+SISENDID!AU250)/2/100</f>
        <v>25004.805857748921</v>
      </c>
      <c r="AT53" s="682">
        <f>AT50*1000*(SISENDID!AU226+SISENDID!AU228)*(SISENDID!AV248+SISENDID!AV250)/2/100</f>
        <v>25113.068258673153</v>
      </c>
      <c r="AU53" s="682">
        <f>AU50*1000*(SISENDID!AV226+SISENDID!AV228)*(SISENDID!AW248+SISENDID!AW250)/2/100</f>
        <v>25220.393412933088</v>
      </c>
      <c r="AV53" s="428">
        <f>AV50*1000*(SISENDID!AW226+SISENDID!AW228)*(SISENDID!AX248+SISENDID!AX250)/2/100</f>
        <v>25326.787411870831</v>
      </c>
    </row>
    <row r="54" spans="2:48" s="39" customFormat="1" ht="13.5" outlineLevel="1" x14ac:dyDescent="0.25">
      <c r="B54" s="678" t="s">
        <v>1652</v>
      </c>
      <c r="C54" s="681" t="s">
        <v>853</v>
      </c>
      <c r="D54" s="683">
        <f>D50*SISENDID!F263</f>
        <v>0</v>
      </c>
      <c r="E54" s="683">
        <f>E50*SISENDID!G263</f>
        <v>0</v>
      </c>
      <c r="F54" s="683">
        <f>F50*SISENDID!H263</f>
        <v>1652.1741609398503</v>
      </c>
      <c r="G54" s="683">
        <f>G50*SISENDID!I263</f>
        <v>3040.6672924062918</v>
      </c>
      <c r="H54" s="683">
        <f>H50*SISENDID!J263</f>
        <v>3808.9811728600712</v>
      </c>
      <c r="I54" s="683">
        <f>I50*SISENDID!K263</f>
        <v>4487.6925407889021</v>
      </c>
      <c r="J54" s="683">
        <f>J50*SISENDID!L263</f>
        <v>5073.8324132039997</v>
      </c>
      <c r="K54" s="683">
        <f>K50*SISENDID!M263</f>
        <v>5460.8512581357927</v>
      </c>
      <c r="L54" s="683">
        <f>L50*SISENDID!N263</f>
        <v>5656.0473196545663</v>
      </c>
      <c r="M54" s="683">
        <f>M50*SISENDID!O263</f>
        <v>5666.5528205750597</v>
      </c>
      <c r="N54" s="683">
        <f>N50*SISENDID!P263</f>
        <v>4848.5624248196473</v>
      </c>
      <c r="O54" s="683">
        <f>O50*SISENDID!Q263</f>
        <v>5076.238951345631</v>
      </c>
      <c r="P54" s="683">
        <f>P50*SISENDID!R263</f>
        <v>5078.8977132027212</v>
      </c>
      <c r="Q54" s="683">
        <f>Q50*SISENDID!S263</f>
        <v>4622.2108139338179</v>
      </c>
      <c r="R54" s="683">
        <f>R50*SISENDID!T263</f>
        <v>4702.4146476161877</v>
      </c>
      <c r="S54" s="683">
        <f>S50*SISENDID!U263</f>
        <v>4744.0720863737579</v>
      </c>
      <c r="T54" s="683">
        <f>T50*SISENDID!V263</f>
        <v>4653.7590764390789</v>
      </c>
      <c r="U54" s="683">
        <f>U50*SISENDID!W263</f>
        <v>4623.6885588180403</v>
      </c>
      <c r="V54" s="683">
        <f>V50*SISENDID!X263</f>
        <v>4545.8569697987668</v>
      </c>
      <c r="W54" s="683">
        <f>W50*SISENDID!Y263</f>
        <v>4451.0978419107196</v>
      </c>
      <c r="X54" s="683">
        <f>X50*SISENDID!Z263</f>
        <v>4139.9522375453616</v>
      </c>
      <c r="Y54" s="683">
        <f>Y50*SISENDID!AA263</f>
        <v>3992.5686748385965</v>
      </c>
      <c r="Z54" s="683">
        <f>Z50*SISENDID!AB263</f>
        <v>3818.7217870112258</v>
      </c>
      <c r="AA54" s="683">
        <f>AA50*SISENDID!AC263</f>
        <v>3619.6186401583204</v>
      </c>
      <c r="AB54" s="683">
        <f>AB50*SISENDID!AD263</f>
        <v>3314.6420872487843</v>
      </c>
      <c r="AC54" s="683">
        <f>AC50*SISENDID!AE263</f>
        <v>3106.9900502048536</v>
      </c>
      <c r="AD54" s="683">
        <f>AD50*SISENDID!AF263</f>
        <v>2904.3129990217776</v>
      </c>
      <c r="AE54" s="683">
        <f>AE50*SISENDID!AG263</f>
        <v>2706.5092076187607</v>
      </c>
      <c r="AF54" s="683">
        <f>AF50*SISENDID!AH263</f>
        <v>2513.4789521413045</v>
      </c>
      <c r="AG54" s="683">
        <f>AG50*SISENDID!AI263</f>
        <v>2325.1244715559374</v>
      </c>
      <c r="AH54" s="683">
        <f>AH50*SISENDID!AJ263</f>
        <v>2141.3499290295686</v>
      </c>
      <c r="AI54" s="683">
        <f>AI50*SISENDID!AK263</f>
        <v>1962.0613740776421</v>
      </c>
      <c r="AJ54" s="683">
        <f>AJ50*SISENDID!AL263</f>
        <v>1787.1667054656009</v>
      </c>
      <c r="AK54" s="683">
        <f>AK50*SISENDID!AM263</f>
        <v>1616.5756348484658</v>
      </c>
      <c r="AL54" s="683">
        <f>AL50*SISENDID!AN263</f>
        <v>1450.1996511336656</v>
      </c>
      <c r="AM54" s="683">
        <f>AM50*SISENDID!AO263</f>
        <v>1287.9519855525405</v>
      </c>
      <c r="AN54" s="683">
        <f>AN50*SISENDID!AP263</f>
        <v>1129.7475774262464</v>
      </c>
      <c r="AO54" s="683">
        <f>AO50*SISENDID!AQ263</f>
        <v>975.50304061207135</v>
      </c>
      <c r="AP54" s="683">
        <f>AP50*SISENDID!AR263</f>
        <v>825.13663061647242</v>
      </c>
      <c r="AQ54" s="683">
        <f>AQ50*SISENDID!AS263</f>
        <v>678.5682123613999</v>
      </c>
      <c r="AR54" s="683">
        <f>AR50*SISENDID!AT263</f>
        <v>535.71922859076733</v>
      </c>
      <c r="AS54" s="683">
        <f>AS50*SISENDID!AU263</f>
        <v>396.51266890418441</v>
      </c>
      <c r="AT54" s="683">
        <f>AT50*SISENDID!AV263</f>
        <v>260.87303940533229</v>
      </c>
      <c r="AU54" s="683">
        <f>AU50*SISENDID!AW263</f>
        <v>128.7263329526188</v>
      </c>
      <c r="AV54" s="429">
        <f>AV50*SISENDID!AX263</f>
        <v>0</v>
      </c>
    </row>
    <row r="55" spans="2:48" s="1" customFormat="1" x14ac:dyDescent="0.25">
      <c r="C55" s="9"/>
    </row>
    <row r="56" spans="2:48" s="1" customFormat="1" x14ac:dyDescent="0.25">
      <c r="C56" s="9"/>
    </row>
    <row r="57" spans="2:48" x14ac:dyDescent="0.25">
      <c r="C57" s="125"/>
    </row>
    <row r="58" spans="2:48" x14ac:dyDescent="0.25">
      <c r="C58" s="294"/>
      <c r="D58" s="127"/>
    </row>
    <row r="59" spans="2:48" x14ac:dyDescent="0.25">
      <c r="C59" s="294"/>
      <c r="D59" s="128"/>
    </row>
    <row r="60" spans="2:48" x14ac:dyDescent="0.25">
      <c r="C60" s="294"/>
      <c r="D60" s="128"/>
    </row>
    <row r="61" spans="2:48" x14ac:dyDescent="0.25">
      <c r="C61" s="129"/>
      <c r="D61" s="128"/>
    </row>
    <row r="62" spans="2:48" x14ac:dyDescent="0.25">
      <c r="D62" s="128"/>
    </row>
    <row r="63" spans="2:48" x14ac:dyDescent="0.25">
      <c r="D63" s="128"/>
    </row>
    <row r="64" spans="2:48" x14ac:dyDescent="0.25">
      <c r="D64" s="127"/>
    </row>
    <row r="65" spans="4:4" x14ac:dyDescent="0.25">
      <c r="D65" s="127"/>
    </row>
    <row r="66" spans="4:4" x14ac:dyDescent="0.25">
      <c r="D66" s="127"/>
    </row>
    <row r="67" spans="4:4" x14ac:dyDescent="0.25">
      <c r="D67" s="127"/>
    </row>
  </sheetData>
  <sheetProtection algorithmName="SHA-512" hashValue="4skXaNZQdtIDFtVyMFyF8UrBda6QC+iKHRDlXeIVv36LoB4totgVdrfuH15+F8wlyg5A5bAnQ59eAX4pLQGCxw==" saltValue="+a1CA2l1LTZtWUTQVKKb5A==" spinCount="100000" sheet="1" objects="1" scenarios="1" selectLockedCells="1"/>
  <mergeCells count="1">
    <mergeCell ref="C3:L3"/>
  </mergeCells>
  <conditionalFormatting sqref="C34:C36">
    <cfRule type="containsText" dxfId="5" priority="1" operator="containsText" text="Kõrge">
      <formula>NOT(ISERROR(SEARCH("Kõrge",C34)))</formula>
    </cfRule>
    <cfRule type="containsText" dxfId="4" priority="2" operator="containsText" text="Mõõdukas">
      <formula>NOT(ISERROR(SEARCH("Mõõdukas",C34)))</formula>
    </cfRule>
    <cfRule type="containsText" dxfId="3" priority="3" operator="containsText" text="Madal">
      <formula>NOT(ISERROR(SEARCH("Madal",C34)))</formula>
    </cfRule>
  </conditionalFormatting>
  <dataValidations count="3">
    <dataValidation type="list" allowBlank="1" showInputMessage="1" showErrorMessage="1" sqref="C36" xr:uid="{B9FB465D-F00E-49AA-9E72-C40671CA5C45}">
      <formula1>I34:I36</formula1>
    </dataValidation>
    <dataValidation type="list" allowBlank="1" showInputMessage="1" showErrorMessage="1" sqref="C35" xr:uid="{8067C243-5EA6-4B39-B02C-C3E4B0752A40}">
      <formula1>I34:I36</formula1>
    </dataValidation>
    <dataValidation type="list" allowBlank="1" showInputMessage="1" showErrorMessage="1" sqref="C34" xr:uid="{23083E9D-69E0-40BF-BCC2-76B881F707C3}">
      <formula1>I34:I36</formula1>
    </dataValidation>
  </dataValidations>
  <hyperlinks>
    <hyperlink ref="B1" location="MEETMED!A1" display="&lt;-MEETMETE NIMEKIRI" xr:uid="{A4BE3BAB-3CBB-4832-B1EE-1AE921B4D74A}"/>
    <hyperlink ref="F11" r:id="rId1" xr:uid="{EC31B295-E5EC-4944-BEE8-49B3352E83EF}"/>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A1D1-BC0A-4E35-AEB9-2BDB2167EFB9}">
  <dimension ref="A2:BF426"/>
  <sheetViews>
    <sheetView showGridLines="0" zoomScale="78" zoomScaleNormal="78" workbookViewId="0">
      <selection activeCell="W285" sqref="W285"/>
    </sheetView>
  </sheetViews>
  <sheetFormatPr defaultRowHeight="15" outlineLevelRow="2" x14ac:dyDescent="0.25"/>
  <cols>
    <col min="1" max="1" width="3.85546875" customWidth="1"/>
    <col min="2" max="2" width="36.42578125" customWidth="1"/>
    <col min="3" max="3" width="13.7109375" customWidth="1"/>
    <col min="4" max="4" width="12.28515625" customWidth="1"/>
    <col min="5" max="6" width="12.42578125" customWidth="1"/>
    <col min="7" max="10" width="11.140625" customWidth="1"/>
    <col min="11" max="11" width="13.5703125" customWidth="1"/>
    <col min="12" max="15" width="10" customWidth="1"/>
    <col min="16" max="16" width="11.85546875" customWidth="1"/>
    <col min="17" max="17" width="8.7109375" customWidth="1"/>
    <col min="18" max="18" width="12.28515625" customWidth="1"/>
    <col min="19" max="19" width="10.28515625" customWidth="1"/>
    <col min="20" max="20" width="11.140625" customWidth="1"/>
    <col min="21" max="28" width="7.5703125" customWidth="1"/>
  </cols>
  <sheetData>
    <row r="2" spans="2:14" ht="15.75" x14ac:dyDescent="0.25">
      <c r="B2" s="510" t="s">
        <v>496</v>
      </c>
      <c r="C2" s="511"/>
      <c r="D2" s="511"/>
      <c r="E2" s="511"/>
      <c r="F2" s="511"/>
      <c r="G2" s="511"/>
      <c r="H2" s="511"/>
      <c r="I2" s="511"/>
    </row>
    <row r="3" spans="2:14" ht="19.5" customHeight="1" x14ac:dyDescent="0.25">
      <c r="B3" s="514" t="s">
        <v>497</v>
      </c>
    </row>
    <row r="4" spans="2:14" outlineLevel="1" x14ac:dyDescent="0.25">
      <c r="B4" s="92" t="s">
        <v>498</v>
      </c>
    </row>
    <row r="5" spans="2:14" ht="27" outlineLevel="1" x14ac:dyDescent="0.25">
      <c r="B5" s="90"/>
      <c r="C5" s="93">
        <v>2007</v>
      </c>
      <c r="D5" s="93">
        <v>2021</v>
      </c>
      <c r="E5" s="93" t="s">
        <v>499</v>
      </c>
      <c r="F5" s="93" t="s">
        <v>500</v>
      </c>
      <c r="G5" s="93" t="s">
        <v>501</v>
      </c>
      <c r="H5" s="369"/>
      <c r="K5" s="92" t="s">
        <v>456</v>
      </c>
      <c r="L5" s="367" t="s">
        <v>502</v>
      </c>
      <c r="M5" s="367" t="s">
        <v>503</v>
      </c>
      <c r="N5" s="367" t="s">
        <v>504</v>
      </c>
    </row>
    <row r="6" spans="2:14" outlineLevel="1" x14ac:dyDescent="0.25">
      <c r="B6" s="76" t="s">
        <v>456</v>
      </c>
      <c r="C6" s="97">
        <v>2838239</v>
      </c>
      <c r="D6" s="97">
        <v>1565393</v>
      </c>
      <c r="E6" s="120">
        <v>-0.45</v>
      </c>
      <c r="F6" s="257">
        <f>D6/$D$15</f>
        <v>0.72029351148568221</v>
      </c>
      <c r="G6" s="97">
        <f>SUM(G7:G9)</f>
        <v>1082906.291</v>
      </c>
      <c r="K6" s="103" t="s">
        <v>483</v>
      </c>
      <c r="L6" s="96">
        <f>C31+D41+D58</f>
        <v>2294.8939999999998</v>
      </c>
      <c r="M6" s="96">
        <f>C34+H41+H58</f>
        <v>1082906.291</v>
      </c>
      <c r="N6" s="100">
        <f>M6/(L6*1000)</f>
        <v>0.47187638775472851</v>
      </c>
    </row>
    <row r="7" spans="2:14" outlineLevel="1" x14ac:dyDescent="0.25">
      <c r="B7" s="118" t="s">
        <v>458</v>
      </c>
      <c r="C7" s="119">
        <v>131954</v>
      </c>
      <c r="D7" s="119">
        <v>20459</v>
      </c>
      <c r="E7" s="114">
        <v>-0.84</v>
      </c>
      <c r="F7" s="113">
        <f t="shared" ref="F7:F15" si="0">D7/$D$15</f>
        <v>9.4139203072235358E-3</v>
      </c>
      <c r="G7" s="119">
        <f>C34</f>
        <v>1539.2909999999999</v>
      </c>
      <c r="K7" s="103" t="s">
        <v>484</v>
      </c>
      <c r="L7" s="96">
        <f>D31+D42+D59</f>
        <v>1377.0990000000002</v>
      </c>
      <c r="M7" s="96">
        <f>D34+H42+H58</f>
        <v>394731.44799999997</v>
      </c>
      <c r="N7" s="100">
        <f t="shared" ref="N7:N10" si="1">M7/(L7*1000)</f>
        <v>0.28663984797026204</v>
      </c>
    </row>
    <row r="8" spans="2:14" outlineLevel="1" x14ac:dyDescent="0.25">
      <c r="B8" s="118" t="s">
        <v>505</v>
      </c>
      <c r="C8" s="119">
        <v>1725233</v>
      </c>
      <c r="D8" s="119">
        <v>1041903</v>
      </c>
      <c r="E8" s="114">
        <v>-0.4</v>
      </c>
      <c r="F8" s="113">
        <f t="shared" si="0"/>
        <v>0.47941697100821756</v>
      </c>
      <c r="G8" s="119">
        <f>H41</f>
        <v>838076</v>
      </c>
      <c r="K8" s="103" t="s">
        <v>485</v>
      </c>
      <c r="L8" s="96">
        <f>E25+D40+D57</f>
        <v>1677.1999999999998</v>
      </c>
      <c r="M8" s="96">
        <f>E34+H40+H57</f>
        <v>203044.91999999998</v>
      </c>
      <c r="N8" s="100">
        <f t="shared" si="1"/>
        <v>0.12106184116384451</v>
      </c>
    </row>
    <row r="9" spans="2:14" outlineLevel="1" x14ac:dyDescent="0.25">
      <c r="B9" s="118" t="s">
        <v>506</v>
      </c>
      <c r="C9" s="119">
        <v>981052</v>
      </c>
      <c r="D9" s="119">
        <v>503032</v>
      </c>
      <c r="E9" s="114">
        <v>-0.49</v>
      </c>
      <c r="F9" s="113">
        <f t="shared" si="0"/>
        <v>0.2314630803061376</v>
      </c>
      <c r="G9" s="119">
        <f>H58</f>
        <v>243291</v>
      </c>
      <c r="K9" s="368" t="s">
        <v>486</v>
      </c>
      <c r="L9" s="96">
        <f>D49+D50+D64</f>
        <v>233.649</v>
      </c>
      <c r="M9" s="96">
        <f>H49+H50+H64</f>
        <v>1030.4000000000001</v>
      </c>
      <c r="N9" s="100">
        <f t="shared" si="1"/>
        <v>4.4100338542001037E-3</v>
      </c>
    </row>
    <row r="10" spans="2:14" outlineLevel="1" x14ac:dyDescent="0.25">
      <c r="B10" s="76" t="s">
        <v>462</v>
      </c>
      <c r="C10" s="97">
        <v>481801</v>
      </c>
      <c r="D10" s="97">
        <v>579930</v>
      </c>
      <c r="E10" s="120">
        <v>0.2</v>
      </c>
      <c r="F10" s="257">
        <f t="shared" si="0"/>
        <v>0.26684661047793856</v>
      </c>
      <c r="G10" s="97">
        <f>SUM(G11:G13)</f>
        <v>229</v>
      </c>
      <c r="K10" s="368" t="s">
        <v>487</v>
      </c>
      <c r="L10" s="96">
        <f>D43+D45+D46+D47+D48+D62+D63</f>
        <v>15.139999999999999</v>
      </c>
      <c r="M10" s="96">
        <f>H43+H45+H46+H47+H48+H62+H63</f>
        <v>3970</v>
      </c>
      <c r="N10" s="100">
        <f t="shared" si="1"/>
        <v>0.26221928665785998</v>
      </c>
    </row>
    <row r="11" spans="2:14" outlineLevel="1" x14ac:dyDescent="0.25">
      <c r="B11" s="118" t="s">
        <v>464</v>
      </c>
      <c r="C11" s="119">
        <v>591</v>
      </c>
      <c r="D11" s="119">
        <v>557</v>
      </c>
      <c r="E11" s="114">
        <v>-0.06</v>
      </c>
      <c r="F11" s="113">
        <f t="shared" si="0"/>
        <v>2.5629569437037535E-4</v>
      </c>
      <c r="G11" s="119">
        <v>0</v>
      </c>
      <c r="K11" s="92" t="s">
        <v>462</v>
      </c>
    </row>
    <row r="12" spans="2:14" outlineLevel="1" x14ac:dyDescent="0.25">
      <c r="B12" s="118" t="s">
        <v>466</v>
      </c>
      <c r="C12" s="119">
        <v>51811</v>
      </c>
      <c r="D12" s="119">
        <v>33962</v>
      </c>
      <c r="E12" s="114">
        <v>-0.34</v>
      </c>
      <c r="F12" s="113">
        <f t="shared" si="0"/>
        <v>1.5627135318144861E-2</v>
      </c>
      <c r="G12" s="119">
        <f>H198+H199</f>
        <v>229</v>
      </c>
      <c r="K12" s="368" t="s">
        <v>489</v>
      </c>
      <c r="L12" s="96">
        <f>(D185+D186+D195+D206)/1000</f>
        <v>1629.4860000000001</v>
      </c>
      <c r="M12" s="96">
        <f>H185+H186+H195+H206</f>
        <v>406184</v>
      </c>
      <c r="N12" s="100">
        <f t="shared" ref="N12:N16" si="2">M12/(L12*1000)</f>
        <v>0.24927124258815356</v>
      </c>
    </row>
    <row r="13" spans="2:14" outlineLevel="1" x14ac:dyDescent="0.25">
      <c r="B13" s="118" t="s">
        <v>467</v>
      </c>
      <c r="C13" s="119">
        <v>429399</v>
      </c>
      <c r="D13" s="119">
        <v>545411</v>
      </c>
      <c r="E13" s="114">
        <v>0.27</v>
      </c>
      <c r="F13" s="113">
        <f t="shared" si="0"/>
        <v>0.25096317946542329</v>
      </c>
      <c r="G13" s="119">
        <v>0</v>
      </c>
      <c r="K13" s="368" t="s">
        <v>490</v>
      </c>
      <c r="L13" s="96">
        <f>(D187+D188+D207)/1000</f>
        <v>602.20100000000002</v>
      </c>
      <c r="M13" s="96">
        <f>H187+H188+H207</f>
        <v>149944</v>
      </c>
      <c r="N13" s="100">
        <f t="shared" si="2"/>
        <v>0.24899327633132459</v>
      </c>
    </row>
    <row r="14" spans="2:14" outlineLevel="1" x14ac:dyDescent="0.25">
      <c r="B14" s="76" t="s">
        <v>469</v>
      </c>
      <c r="C14" s="97">
        <v>49031</v>
      </c>
      <c r="D14" s="97">
        <v>27948</v>
      </c>
      <c r="E14" s="120">
        <v>-0.43</v>
      </c>
      <c r="F14" s="257">
        <f t="shared" si="0"/>
        <v>1.2859878036379264E-2</v>
      </c>
      <c r="G14" s="97">
        <f>H318</f>
        <v>459</v>
      </c>
      <c r="K14" s="368" t="s">
        <v>491</v>
      </c>
      <c r="L14" s="96">
        <f>(D196+D208+D209)/1000</f>
        <v>113.39700000000001</v>
      </c>
      <c r="M14" s="96">
        <f>H196+H208+H209</f>
        <v>23565</v>
      </c>
      <c r="N14" s="100">
        <f t="shared" si="2"/>
        <v>0.20780973041614859</v>
      </c>
    </row>
    <row r="15" spans="2:14" outlineLevel="1" x14ac:dyDescent="0.25">
      <c r="B15" s="115" t="s">
        <v>445</v>
      </c>
      <c r="C15" s="116">
        <v>3369071</v>
      </c>
      <c r="D15" s="116">
        <v>2173271</v>
      </c>
      <c r="E15" s="117">
        <v>-0.35</v>
      </c>
      <c r="F15" s="117">
        <f t="shared" si="0"/>
        <v>1</v>
      </c>
      <c r="G15" s="116">
        <f>G14+G10+G6</f>
        <v>1083594.291</v>
      </c>
      <c r="K15" s="368" t="s">
        <v>492</v>
      </c>
      <c r="L15" s="96">
        <f>(D210+D197)/1000</f>
        <v>19.78</v>
      </c>
      <c r="M15" s="96">
        <f>H210+H197</f>
        <v>8</v>
      </c>
      <c r="N15" s="100">
        <f t="shared" si="2"/>
        <v>4.0444893832153691E-4</v>
      </c>
    </row>
    <row r="16" spans="2:14" outlineLevel="1" x14ac:dyDescent="0.25">
      <c r="B16" s="74" t="s">
        <v>507</v>
      </c>
      <c r="C16" s="96">
        <f>C342</f>
        <v>-3283.1</v>
      </c>
      <c r="D16" s="96">
        <f>G342</f>
        <v>-1135.8</v>
      </c>
      <c r="K16" s="368" t="s">
        <v>483</v>
      </c>
      <c r="L16" s="96">
        <f>(D198+D199)/1000</f>
        <v>16.869</v>
      </c>
      <c r="M16" s="96">
        <f>H198+H199</f>
        <v>229</v>
      </c>
      <c r="N16" s="100">
        <f t="shared" si="2"/>
        <v>1.3575197107119569E-2</v>
      </c>
    </row>
    <row r="17" spans="2:9" outlineLevel="1" x14ac:dyDescent="0.25">
      <c r="B17" s="74" t="s">
        <v>508</v>
      </c>
      <c r="C17" s="96">
        <f>C326</f>
        <v>0</v>
      </c>
      <c r="D17" s="96">
        <f>G326</f>
        <v>7908</v>
      </c>
    </row>
    <row r="18" spans="2:9" outlineLevel="1" x14ac:dyDescent="0.25">
      <c r="B18" s="65" t="s">
        <v>509</v>
      </c>
    </row>
    <row r="20" spans="2:9" ht="15.75" x14ac:dyDescent="0.25">
      <c r="B20" s="510" t="s">
        <v>414</v>
      </c>
      <c r="C20" s="511"/>
      <c r="D20" s="511"/>
      <c r="E20" s="511"/>
      <c r="F20" s="511"/>
      <c r="G20" s="511"/>
      <c r="H20" s="511"/>
      <c r="I20" s="511"/>
    </row>
    <row r="21" spans="2:9" ht="23.25" customHeight="1" x14ac:dyDescent="0.25">
      <c r="B21" s="514" t="s">
        <v>510</v>
      </c>
      <c r="C21" s="513"/>
      <c r="D21" s="516"/>
      <c r="E21" s="516"/>
      <c r="F21" s="516"/>
      <c r="G21" s="516"/>
      <c r="H21" s="516"/>
    </row>
    <row r="22" spans="2:9" ht="4.5" customHeight="1" outlineLevel="1" x14ac:dyDescent="0.25">
      <c r="B22" s="516"/>
      <c r="C22" s="513"/>
      <c r="D22" s="516"/>
      <c r="E22" s="516"/>
      <c r="F22" s="516"/>
      <c r="G22" s="516"/>
      <c r="H22" s="516"/>
    </row>
    <row r="23" spans="2:9" outlineLevel="1" x14ac:dyDescent="0.25">
      <c r="B23" s="517" t="s">
        <v>511</v>
      </c>
      <c r="C23" s="516"/>
      <c r="D23" s="516"/>
      <c r="E23" s="516"/>
      <c r="F23" s="516"/>
      <c r="G23" s="516"/>
      <c r="H23" s="516"/>
    </row>
    <row r="24" spans="2:9" outlineLevel="2" x14ac:dyDescent="0.25">
      <c r="B24" s="518" t="s">
        <v>512</v>
      </c>
      <c r="C24" s="519" t="s">
        <v>483</v>
      </c>
      <c r="D24" s="519" t="s">
        <v>484</v>
      </c>
      <c r="E24" s="519" t="s">
        <v>485</v>
      </c>
      <c r="F24" s="516"/>
      <c r="G24" s="516"/>
      <c r="H24" s="516"/>
    </row>
    <row r="25" spans="2:9" outlineLevel="2" x14ac:dyDescent="0.25">
      <c r="B25" s="520" t="s">
        <v>513</v>
      </c>
      <c r="C25" s="521">
        <v>40.799999999999997</v>
      </c>
      <c r="D25" s="521">
        <v>4.5999999999999996</v>
      </c>
      <c r="E25" s="521">
        <v>33</v>
      </c>
      <c r="F25" s="516"/>
      <c r="G25" s="516"/>
      <c r="H25" s="516"/>
    </row>
    <row r="26" spans="2:9" outlineLevel="2" x14ac:dyDescent="0.25">
      <c r="B26" s="520" t="s">
        <v>514</v>
      </c>
      <c r="C26" s="521">
        <v>17.899999999999999</v>
      </c>
      <c r="D26" s="521">
        <v>3.7</v>
      </c>
      <c r="E26" s="521">
        <v>47.6</v>
      </c>
      <c r="F26" s="516"/>
      <c r="G26" s="516"/>
      <c r="H26" s="516"/>
    </row>
    <row r="27" spans="2:9" outlineLevel="2" x14ac:dyDescent="0.25">
      <c r="B27" s="520" t="s">
        <v>515</v>
      </c>
      <c r="C27" s="521">
        <v>17.3</v>
      </c>
      <c r="D27" s="521">
        <v>4</v>
      </c>
      <c r="E27" s="521">
        <v>27.3</v>
      </c>
      <c r="F27" s="516"/>
      <c r="G27" s="516"/>
      <c r="H27" s="516"/>
    </row>
    <row r="28" spans="2:9" outlineLevel="2" x14ac:dyDescent="0.25">
      <c r="B28" s="520" t="s">
        <v>516</v>
      </c>
      <c r="C28" s="521">
        <v>5.6</v>
      </c>
      <c r="D28" s="521">
        <v>5.9</v>
      </c>
      <c r="E28" s="521">
        <v>17.899999999999999</v>
      </c>
      <c r="F28" s="516"/>
      <c r="G28" s="516"/>
      <c r="H28" s="516"/>
    </row>
    <row r="29" spans="2:9" outlineLevel="2" x14ac:dyDescent="0.25">
      <c r="B29" s="520" t="s">
        <v>517</v>
      </c>
      <c r="C29" s="521">
        <v>0.8</v>
      </c>
      <c r="D29" s="521">
        <v>1</v>
      </c>
      <c r="E29" s="521">
        <v>6.2</v>
      </c>
      <c r="F29" s="516"/>
      <c r="G29" s="516"/>
      <c r="H29" s="516"/>
    </row>
    <row r="30" spans="2:9" outlineLevel="2" x14ac:dyDescent="0.25">
      <c r="B30" s="520" t="s">
        <v>518</v>
      </c>
      <c r="C30" s="521">
        <v>30.7</v>
      </c>
      <c r="D30" s="521" t="s">
        <v>519</v>
      </c>
      <c r="E30" s="521" t="s">
        <v>519</v>
      </c>
      <c r="F30" s="516"/>
      <c r="G30" s="516"/>
      <c r="H30" s="516"/>
    </row>
    <row r="31" spans="2:9" outlineLevel="2" x14ac:dyDescent="0.25">
      <c r="B31" s="520" t="s">
        <v>520</v>
      </c>
      <c r="C31" s="521">
        <v>113.1</v>
      </c>
      <c r="D31" s="521">
        <v>19.2</v>
      </c>
      <c r="E31" s="521">
        <v>132</v>
      </c>
      <c r="F31" s="516"/>
      <c r="G31" s="516"/>
      <c r="H31" s="516"/>
    </row>
    <row r="32" spans="2:9" outlineLevel="2" x14ac:dyDescent="0.25">
      <c r="B32" s="522" t="s">
        <v>521</v>
      </c>
      <c r="C32" s="523">
        <f>C31/SUM($C$31:$E$31)</f>
        <v>0.42792281498297396</v>
      </c>
      <c r="D32" s="523">
        <f t="shared" ref="D32:E32" si="3">D31/SUM($C$31:$E$31)</f>
        <v>7.2644721906923962E-2</v>
      </c>
      <c r="E32" s="523">
        <f t="shared" si="3"/>
        <v>0.49943246311010225</v>
      </c>
      <c r="F32" s="516"/>
      <c r="G32" s="516"/>
      <c r="H32" s="516"/>
    </row>
    <row r="33" spans="2:12" outlineLevel="2" x14ac:dyDescent="0.25">
      <c r="B33" s="520" t="s">
        <v>522</v>
      </c>
      <c r="C33" s="524">
        <v>1.3610000000000001E-2</v>
      </c>
      <c r="D33" s="524">
        <v>0.19919000000000001</v>
      </c>
      <c r="E33" s="524">
        <v>0.11430999999999999</v>
      </c>
      <c r="F33" s="516"/>
      <c r="G33" s="516"/>
      <c r="H33" s="516"/>
    </row>
    <row r="34" spans="2:12" outlineLevel="2" x14ac:dyDescent="0.25">
      <c r="B34" s="520" t="s">
        <v>523</v>
      </c>
      <c r="C34" s="525">
        <f>C33*C31*1000</f>
        <v>1539.2909999999999</v>
      </c>
      <c r="D34" s="525">
        <f t="shared" ref="D34:E34" si="4">D33*D31*1000</f>
        <v>3824.4479999999999</v>
      </c>
      <c r="E34" s="525">
        <f t="shared" si="4"/>
        <v>15088.92</v>
      </c>
      <c r="F34" s="526">
        <f>E34/SUM(C34:E34)</f>
        <v>0.73774857342509848</v>
      </c>
      <c r="G34" s="516"/>
      <c r="H34" s="516"/>
    </row>
    <row r="35" spans="2:12" outlineLevel="2" x14ac:dyDescent="0.25">
      <c r="B35" s="527" t="s">
        <v>524</v>
      </c>
      <c r="C35" s="516"/>
      <c r="D35" s="516"/>
      <c r="E35" s="528"/>
      <c r="F35" s="516"/>
      <c r="G35" s="516"/>
      <c r="H35" s="516"/>
    </row>
    <row r="36" spans="2:12" outlineLevel="1" x14ac:dyDescent="0.25">
      <c r="B36" s="527"/>
      <c r="C36" s="516"/>
      <c r="D36" s="516"/>
      <c r="E36" s="528"/>
      <c r="F36" s="516"/>
      <c r="G36" s="516"/>
      <c r="H36" s="516"/>
    </row>
    <row r="37" spans="2:12" outlineLevel="1" x14ac:dyDescent="0.25">
      <c r="B37" s="517" t="s">
        <v>525</v>
      </c>
      <c r="C37" s="516"/>
      <c r="D37" s="516"/>
      <c r="E37" s="528"/>
      <c r="F37" s="516"/>
      <c r="G37" s="516"/>
      <c r="H37" s="516"/>
    </row>
    <row r="38" spans="2:12" outlineLevel="2" x14ac:dyDescent="0.25">
      <c r="B38" s="529"/>
      <c r="C38" s="977" t="s">
        <v>526</v>
      </c>
      <c r="D38" s="978"/>
      <c r="E38" s="979" t="s">
        <v>527</v>
      </c>
      <c r="F38" s="980"/>
      <c r="G38" s="977" t="s">
        <v>528</v>
      </c>
      <c r="H38" s="978"/>
    </row>
    <row r="39" spans="2:12" outlineLevel="2" x14ac:dyDescent="0.25">
      <c r="B39" s="530"/>
      <c r="C39" s="519">
        <v>2007</v>
      </c>
      <c r="D39" s="519">
        <v>2021</v>
      </c>
      <c r="E39" s="519">
        <v>2007</v>
      </c>
      <c r="F39" s="519">
        <v>2021</v>
      </c>
      <c r="G39" s="519">
        <v>2007</v>
      </c>
      <c r="H39" s="519">
        <v>2021</v>
      </c>
    </row>
    <row r="40" spans="2:12" outlineLevel="2" x14ac:dyDescent="0.25">
      <c r="B40" s="520" t="s">
        <v>529</v>
      </c>
      <c r="C40" s="531">
        <v>447</v>
      </c>
      <c r="D40" s="531">
        <v>462.4</v>
      </c>
      <c r="E40" s="532">
        <v>0.33079999999999998</v>
      </c>
      <c r="F40" s="532">
        <v>0.11430999999999999</v>
      </c>
      <c r="G40" s="525">
        <v>147857</v>
      </c>
      <c r="H40" s="525">
        <v>52859</v>
      </c>
      <c r="J40" s="335" t="s">
        <v>530</v>
      </c>
      <c r="K40" s="361">
        <v>0.12</v>
      </c>
      <c r="L40" s="15" t="s">
        <v>531</v>
      </c>
    </row>
    <row r="41" spans="2:12" outlineLevel="2" x14ac:dyDescent="0.25">
      <c r="B41" s="520" t="s">
        <v>483</v>
      </c>
      <c r="C41" s="531">
        <v>1529</v>
      </c>
      <c r="D41" s="531">
        <v>1690.923</v>
      </c>
      <c r="E41" s="532">
        <v>0.97399999999999998</v>
      </c>
      <c r="F41" s="532">
        <v>0.49563000000000001</v>
      </c>
      <c r="G41" s="525">
        <v>1489270</v>
      </c>
      <c r="H41" s="525">
        <v>838076</v>
      </c>
      <c r="J41" s="335" t="s">
        <v>532</v>
      </c>
      <c r="K41" s="97">
        <f>D40*1000/K40</f>
        <v>3853333.3333333335</v>
      </c>
      <c r="L41" s="15" t="s">
        <v>533</v>
      </c>
    </row>
    <row r="42" spans="2:12" outlineLevel="2" x14ac:dyDescent="0.25">
      <c r="B42" s="520" t="s">
        <v>484</v>
      </c>
      <c r="C42" s="531">
        <v>408.4</v>
      </c>
      <c r="D42" s="531">
        <v>741.06100000000004</v>
      </c>
      <c r="E42" s="532">
        <v>0.1991</v>
      </c>
      <c r="F42" s="532">
        <v>0.19919999999999999</v>
      </c>
      <c r="G42" s="525">
        <v>81321</v>
      </c>
      <c r="H42" s="525">
        <v>147616</v>
      </c>
      <c r="J42" s="335" t="s">
        <v>534</v>
      </c>
      <c r="K42" s="97">
        <v>12824914.300000001</v>
      </c>
      <c r="L42" s="15" t="s">
        <v>535</v>
      </c>
    </row>
    <row r="43" spans="2:12" outlineLevel="2" x14ac:dyDescent="0.25">
      <c r="B43" s="520" t="s">
        <v>536</v>
      </c>
      <c r="C43" s="531">
        <v>2.64</v>
      </c>
      <c r="D43" s="531">
        <v>0.58899999999999997</v>
      </c>
      <c r="E43" s="532">
        <v>0.34939999999999999</v>
      </c>
      <c r="F43" s="532">
        <v>0.3548</v>
      </c>
      <c r="G43" s="525">
        <v>923</v>
      </c>
      <c r="H43" s="525">
        <v>209</v>
      </c>
      <c r="J43" s="336" t="s">
        <v>537</v>
      </c>
      <c r="K43" s="337">
        <f>K41/K42</f>
        <v>0.30045684853686183</v>
      </c>
    </row>
    <row r="44" spans="2:12" outlineLevel="2" x14ac:dyDescent="0.25">
      <c r="B44" s="520" t="s">
        <v>538</v>
      </c>
      <c r="C44" s="531">
        <v>0.222</v>
      </c>
      <c r="D44" s="531"/>
      <c r="E44" s="532">
        <v>0.3831</v>
      </c>
      <c r="F44" s="532"/>
      <c r="G44" s="525">
        <v>85</v>
      </c>
      <c r="H44" s="525"/>
    </row>
    <row r="45" spans="2:12" outlineLevel="2" x14ac:dyDescent="0.25">
      <c r="B45" s="520" t="s">
        <v>539</v>
      </c>
      <c r="C45" s="531">
        <v>0.63200000000000001</v>
      </c>
      <c r="D45" s="531">
        <v>0.94799999999999995</v>
      </c>
      <c r="E45" s="532">
        <v>0.2339</v>
      </c>
      <c r="F45" s="532">
        <v>0.2298</v>
      </c>
      <c r="G45" s="525">
        <v>148</v>
      </c>
      <c r="H45" s="525">
        <v>218</v>
      </c>
    </row>
    <row r="46" spans="2:12" outlineLevel="2" x14ac:dyDescent="0.25">
      <c r="B46" s="520" t="s">
        <v>490</v>
      </c>
      <c r="C46" s="531">
        <v>0</v>
      </c>
      <c r="D46" s="531">
        <v>0.122</v>
      </c>
      <c r="E46" s="532">
        <v>0.25569999999999998</v>
      </c>
      <c r="F46" s="532">
        <v>0.249</v>
      </c>
      <c r="G46" s="525">
        <v>0</v>
      </c>
      <c r="H46" s="525">
        <v>30</v>
      </c>
    </row>
    <row r="47" spans="2:12" outlineLevel="2" x14ac:dyDescent="0.25">
      <c r="B47" s="520" t="s">
        <v>540</v>
      </c>
      <c r="C47" s="531">
        <v>1.103</v>
      </c>
      <c r="D47" s="531">
        <v>0.218</v>
      </c>
      <c r="E47" s="532">
        <v>0.27389999999999998</v>
      </c>
      <c r="F47" s="532">
        <v>0.27460000000000001</v>
      </c>
      <c r="G47" s="525">
        <v>302</v>
      </c>
      <c r="H47" s="525">
        <v>60</v>
      </c>
    </row>
    <row r="48" spans="2:12" outlineLevel="2" x14ac:dyDescent="0.25">
      <c r="B48" s="520" t="s">
        <v>541</v>
      </c>
      <c r="C48" s="531">
        <v>19.882000000000001</v>
      </c>
      <c r="D48" s="531">
        <v>10.526</v>
      </c>
      <c r="E48" s="532">
        <v>0.26550000000000001</v>
      </c>
      <c r="F48" s="532">
        <v>0.26629999999999998</v>
      </c>
      <c r="G48" s="525">
        <v>5279</v>
      </c>
      <c r="H48" s="525">
        <v>2803</v>
      </c>
    </row>
    <row r="49" spans="2:13" outlineLevel="2" x14ac:dyDescent="0.25">
      <c r="B49" s="520" t="s">
        <v>542</v>
      </c>
      <c r="C49" s="531">
        <v>12.194000000000001</v>
      </c>
      <c r="D49" s="531">
        <v>7.0830000000000002</v>
      </c>
      <c r="E49" s="532">
        <v>3.8999999999999998E-3</v>
      </c>
      <c r="F49" s="532">
        <v>4.4000000000000003E-3</v>
      </c>
      <c r="G49" s="525">
        <v>47</v>
      </c>
      <c r="H49" s="525">
        <v>31</v>
      </c>
    </row>
    <row r="50" spans="2:13" outlineLevel="2" x14ac:dyDescent="0.25">
      <c r="B50" s="520" t="s">
        <v>543</v>
      </c>
      <c r="C50" s="531">
        <v>0.68100000000000005</v>
      </c>
      <c r="D50" s="531">
        <v>1.0109999999999999</v>
      </c>
      <c r="E50" s="532">
        <v>2.9999999999999997E-4</v>
      </c>
      <c r="F50" s="532">
        <v>4.0000000000000002E-4</v>
      </c>
      <c r="G50" s="525">
        <v>0</v>
      </c>
      <c r="H50" s="525">
        <v>0.4</v>
      </c>
    </row>
    <row r="51" spans="2:13" outlineLevel="2" x14ac:dyDescent="0.25">
      <c r="B51" s="520" t="s">
        <v>520</v>
      </c>
      <c r="C51" s="525">
        <v>2421.7539999999999</v>
      </c>
      <c r="D51" s="525">
        <v>2914.8820000000001</v>
      </c>
      <c r="E51" s="525"/>
      <c r="F51" s="525"/>
      <c r="G51" s="525">
        <v>1725233</v>
      </c>
      <c r="H51" s="525">
        <v>1041903</v>
      </c>
    </row>
    <row r="52" spans="2:13" outlineLevel="2" x14ac:dyDescent="0.25">
      <c r="B52" s="527" t="s">
        <v>544</v>
      </c>
      <c r="C52" s="516"/>
      <c r="D52" s="516"/>
      <c r="E52" s="528"/>
      <c r="F52" s="516"/>
      <c r="G52" s="516"/>
      <c r="H52" s="516"/>
    </row>
    <row r="53" spans="2:13" outlineLevel="1" x14ac:dyDescent="0.25">
      <c r="B53" s="527"/>
      <c r="C53" s="516"/>
      <c r="D53" s="516"/>
      <c r="E53" s="528"/>
      <c r="F53" s="516"/>
      <c r="G53" s="516"/>
      <c r="H53" s="516"/>
    </row>
    <row r="54" spans="2:13" outlineLevel="1" x14ac:dyDescent="0.25">
      <c r="B54" s="517" t="s">
        <v>545</v>
      </c>
      <c r="C54" s="516"/>
      <c r="D54" s="516"/>
      <c r="E54" s="528"/>
      <c r="F54" s="516"/>
      <c r="G54" s="516"/>
      <c r="H54" s="516"/>
      <c r="J54" s="38" t="s">
        <v>546</v>
      </c>
    </row>
    <row r="55" spans="2:13" outlineLevel="2" x14ac:dyDescent="0.25">
      <c r="B55" s="529"/>
      <c r="C55" s="977" t="s">
        <v>526</v>
      </c>
      <c r="D55" s="978"/>
      <c r="E55" s="981" t="s">
        <v>547</v>
      </c>
      <c r="F55" s="982"/>
      <c r="G55" s="977" t="s">
        <v>528</v>
      </c>
      <c r="H55" s="978"/>
      <c r="J55" s="335" t="s">
        <v>530</v>
      </c>
      <c r="K55" s="361">
        <v>0.12</v>
      </c>
      <c r="L55" s="335" t="s">
        <v>548</v>
      </c>
    </row>
    <row r="56" spans="2:13" outlineLevel="2" x14ac:dyDescent="0.25">
      <c r="B56" s="530"/>
      <c r="C56" s="519">
        <v>2007</v>
      </c>
      <c r="D56" s="519">
        <v>2021</v>
      </c>
      <c r="E56" s="519">
        <v>2007</v>
      </c>
      <c r="F56" s="519">
        <v>2021</v>
      </c>
      <c r="G56" s="519">
        <v>2007</v>
      </c>
      <c r="H56" s="519">
        <v>2021</v>
      </c>
      <c r="J56" s="335" t="s">
        <v>549</v>
      </c>
      <c r="K56" s="97">
        <f>D57*1000/K55</f>
        <v>9848333.333333334</v>
      </c>
      <c r="L56" s="335" t="s">
        <v>550</v>
      </c>
    </row>
    <row r="57" spans="2:13" outlineLevel="2" x14ac:dyDescent="0.25">
      <c r="B57" s="520" t="s">
        <v>529</v>
      </c>
      <c r="C57" s="525">
        <v>1280</v>
      </c>
      <c r="D57" s="525">
        <v>1181.8</v>
      </c>
      <c r="E57" s="532">
        <v>0.33079999999999998</v>
      </c>
      <c r="F57" s="532">
        <v>0.1143</v>
      </c>
      <c r="G57" s="525">
        <v>423395</v>
      </c>
      <c r="H57" s="525">
        <v>135097</v>
      </c>
      <c r="J57" s="335" t="s">
        <v>551</v>
      </c>
      <c r="K57" s="97">
        <v>18645979.100000001</v>
      </c>
      <c r="L57" s="335" t="s">
        <v>552</v>
      </c>
    </row>
    <row r="58" spans="2:13" outlineLevel="2" x14ac:dyDescent="0.25">
      <c r="B58" s="520" t="s">
        <v>483</v>
      </c>
      <c r="C58" s="525">
        <v>466</v>
      </c>
      <c r="D58" s="525">
        <v>490.87099999999998</v>
      </c>
      <c r="E58" s="532">
        <v>0.97399999999999998</v>
      </c>
      <c r="F58" s="532">
        <v>0.49559999999999998</v>
      </c>
      <c r="G58" s="525">
        <v>453891</v>
      </c>
      <c r="H58" s="525">
        <v>243291</v>
      </c>
      <c r="J58" s="336" t="s">
        <v>537</v>
      </c>
      <c r="K58" s="337">
        <f>K56/K57</f>
        <v>0.52817464186331375</v>
      </c>
    </row>
    <row r="59" spans="2:13" outlineLevel="2" x14ac:dyDescent="0.25">
      <c r="B59" s="520" t="s">
        <v>484</v>
      </c>
      <c r="C59" s="525">
        <v>499.33800000000002</v>
      </c>
      <c r="D59" s="525">
        <v>616.83799999999997</v>
      </c>
      <c r="E59" s="532">
        <v>0.1991</v>
      </c>
      <c r="F59" s="532">
        <v>0.19919999999999999</v>
      </c>
      <c r="G59" s="525">
        <v>99429</v>
      </c>
      <c r="H59" s="525">
        <v>122871</v>
      </c>
      <c r="J59" s="335" t="s">
        <v>553</v>
      </c>
      <c r="K59" s="97">
        <v>2675254.6</v>
      </c>
      <c r="L59" s="335" t="s">
        <v>554</v>
      </c>
      <c r="M59" s="390" t="s">
        <v>555</v>
      </c>
    </row>
    <row r="60" spans="2:13" outlineLevel="2" x14ac:dyDescent="0.25">
      <c r="B60" s="520" t="s">
        <v>536</v>
      </c>
      <c r="C60" s="525">
        <v>3.7719999999999998</v>
      </c>
      <c r="D60" s="525">
        <v>0.34599999999999997</v>
      </c>
      <c r="E60" s="532">
        <v>0.34939999999999999</v>
      </c>
      <c r="F60" s="532">
        <v>0.3548</v>
      </c>
      <c r="G60" s="525">
        <v>1318</v>
      </c>
      <c r="H60" s="525">
        <v>123</v>
      </c>
      <c r="J60" s="365" t="s">
        <v>556</v>
      </c>
      <c r="K60" s="389">
        <v>0.2</v>
      </c>
      <c r="L60" s="335" t="s">
        <v>557</v>
      </c>
    </row>
    <row r="61" spans="2:13" outlineLevel="2" x14ac:dyDescent="0.25">
      <c r="B61" s="520" t="s">
        <v>538</v>
      </c>
      <c r="C61" s="525">
        <v>2.444</v>
      </c>
      <c r="D61" s="525">
        <v>0</v>
      </c>
      <c r="E61" s="532">
        <v>0.3831</v>
      </c>
      <c r="F61" s="532"/>
      <c r="G61" s="525">
        <v>936</v>
      </c>
      <c r="H61" s="525"/>
      <c r="J61" s="365" t="s">
        <v>556</v>
      </c>
      <c r="K61" s="97">
        <f>K60*K59</f>
        <v>535050.92000000004</v>
      </c>
      <c r="L61" s="335" t="s">
        <v>554</v>
      </c>
    </row>
    <row r="62" spans="2:13" outlineLevel="2" x14ac:dyDescent="0.25">
      <c r="B62" s="520" t="s">
        <v>539</v>
      </c>
      <c r="C62" s="525">
        <v>1.264</v>
      </c>
      <c r="D62" s="525">
        <v>2.149</v>
      </c>
      <c r="E62" s="532">
        <v>0.2339</v>
      </c>
      <c r="F62" s="532">
        <v>0.2298</v>
      </c>
      <c r="G62" s="525">
        <v>296</v>
      </c>
      <c r="H62" s="525">
        <v>494</v>
      </c>
      <c r="J62" s="335" t="s">
        <v>558</v>
      </c>
      <c r="K62" s="97">
        <f>K57-K59</f>
        <v>15970724.500000002</v>
      </c>
      <c r="L62" s="335" t="s">
        <v>554</v>
      </c>
    </row>
    <row r="63" spans="2:13" outlineLevel="2" x14ac:dyDescent="0.25">
      <c r="B63" s="520" t="s">
        <v>541</v>
      </c>
      <c r="C63" s="525">
        <v>3.5249999999999999</v>
      </c>
      <c r="D63" s="525">
        <v>0.58799999999999997</v>
      </c>
      <c r="E63" s="532">
        <v>0.26550000000000001</v>
      </c>
      <c r="F63" s="532">
        <v>0.26629999999999998</v>
      </c>
      <c r="G63" s="525">
        <v>936</v>
      </c>
      <c r="H63" s="525">
        <v>156</v>
      </c>
      <c r="J63" s="335" t="s">
        <v>559</v>
      </c>
      <c r="K63" s="97">
        <f>K56-K61</f>
        <v>9313282.413333334</v>
      </c>
      <c r="L63" s="335" t="s">
        <v>554</v>
      </c>
    </row>
    <row r="64" spans="2:13" outlineLevel="2" x14ac:dyDescent="0.25">
      <c r="B64" s="520" t="s">
        <v>542</v>
      </c>
      <c r="C64" s="525">
        <v>220.30600000000001</v>
      </c>
      <c r="D64" s="525">
        <v>225.55500000000001</v>
      </c>
      <c r="E64" s="532">
        <v>3.8999999999999998E-3</v>
      </c>
      <c r="F64" s="532">
        <v>4.4000000000000003E-3</v>
      </c>
      <c r="G64" s="525">
        <v>851</v>
      </c>
      <c r="H64" s="525">
        <v>999</v>
      </c>
      <c r="J64" s="336" t="s">
        <v>537</v>
      </c>
      <c r="K64" s="337">
        <f>K63/K62</f>
        <v>0.58314714610056251</v>
      </c>
    </row>
    <row r="65" spans="2:42" outlineLevel="2" x14ac:dyDescent="0.25">
      <c r="B65" s="520" t="s">
        <v>520</v>
      </c>
      <c r="C65" s="525">
        <v>2476.6480000000001</v>
      </c>
      <c r="D65" s="525">
        <v>2518.1460000000002</v>
      </c>
      <c r="E65" s="525"/>
      <c r="F65" s="525"/>
      <c r="G65" s="525">
        <v>981052</v>
      </c>
      <c r="H65" s="525">
        <v>503032</v>
      </c>
    </row>
    <row r="66" spans="2:42" outlineLevel="2" x14ac:dyDescent="0.25">
      <c r="B66" s="527" t="s">
        <v>560</v>
      </c>
      <c r="C66" s="516"/>
      <c r="D66" s="516"/>
      <c r="E66" s="528"/>
      <c r="F66" s="516"/>
      <c r="G66" s="516"/>
      <c r="H66" s="516"/>
    </row>
    <row r="67" spans="2:42" outlineLevel="1" x14ac:dyDescent="0.25">
      <c r="B67" s="527"/>
      <c r="C67" s="516"/>
      <c r="D67" s="533"/>
      <c r="E67" s="528"/>
      <c r="F67" s="516"/>
      <c r="G67" s="516"/>
      <c r="H67" s="516"/>
    </row>
    <row r="68" spans="2:42" x14ac:dyDescent="0.25">
      <c r="B68" s="527"/>
      <c r="C68" s="516"/>
      <c r="D68" s="533"/>
      <c r="E68" s="528"/>
      <c r="F68" s="516"/>
      <c r="G68" s="516"/>
      <c r="H68" s="516"/>
    </row>
    <row r="69" spans="2:42" x14ac:dyDescent="0.25">
      <c r="B69" s="514" t="s">
        <v>561</v>
      </c>
      <c r="C69" s="513"/>
      <c r="D69" s="516"/>
      <c r="E69" s="516"/>
      <c r="F69" s="516"/>
      <c r="G69" s="516"/>
      <c r="H69" s="516"/>
    </row>
    <row r="70" spans="2:42" ht="20.25" hidden="1" customHeight="1" outlineLevel="1" x14ac:dyDescent="0.25">
      <c r="B70" s="534"/>
      <c r="C70" s="535" t="s">
        <v>562</v>
      </c>
      <c r="D70" s="516"/>
      <c r="E70" s="516"/>
      <c r="F70" s="516"/>
      <c r="G70" s="516"/>
      <c r="H70" s="516"/>
    </row>
    <row r="71" spans="2:42" hidden="1" outlineLevel="1" x14ac:dyDescent="0.25">
      <c r="B71" s="536" t="s">
        <v>563</v>
      </c>
      <c r="C71" s="537">
        <v>2021</v>
      </c>
      <c r="D71" s="537">
        <v>2022</v>
      </c>
      <c r="E71" s="537">
        <v>2023</v>
      </c>
      <c r="F71" s="537">
        <v>2024</v>
      </c>
      <c r="G71" s="537">
        <v>2025</v>
      </c>
      <c r="H71" s="537">
        <v>2026</v>
      </c>
      <c r="I71" s="79">
        <v>2027</v>
      </c>
      <c r="J71" s="79">
        <v>2028</v>
      </c>
      <c r="K71" s="79">
        <v>2029</v>
      </c>
      <c r="L71" s="79">
        <v>2030</v>
      </c>
      <c r="M71" s="79">
        <v>2031</v>
      </c>
      <c r="N71" s="79">
        <v>2032</v>
      </c>
      <c r="O71" s="79">
        <v>2033</v>
      </c>
      <c r="P71" s="79">
        <v>2034</v>
      </c>
      <c r="Q71" s="79">
        <v>2035</v>
      </c>
      <c r="R71" s="79">
        <v>2036</v>
      </c>
      <c r="S71" s="79">
        <v>2037</v>
      </c>
      <c r="T71" s="79">
        <v>2038</v>
      </c>
      <c r="U71" s="79">
        <v>2039</v>
      </c>
      <c r="V71" s="79">
        <v>2040</v>
      </c>
      <c r="W71" s="79">
        <v>2041</v>
      </c>
      <c r="X71" s="79">
        <v>2042</v>
      </c>
      <c r="Y71" s="79">
        <v>2043</v>
      </c>
      <c r="Z71" s="79">
        <v>2044</v>
      </c>
      <c r="AA71" s="79">
        <v>2045</v>
      </c>
      <c r="AB71" s="79">
        <v>2046</v>
      </c>
      <c r="AC71" s="79">
        <v>2047</v>
      </c>
      <c r="AD71" s="79">
        <v>2048</v>
      </c>
      <c r="AE71" s="79">
        <v>2049</v>
      </c>
      <c r="AF71" s="79">
        <v>2050</v>
      </c>
      <c r="AG71" s="79">
        <v>2051</v>
      </c>
      <c r="AH71" s="79">
        <v>2052</v>
      </c>
      <c r="AI71" s="79">
        <v>2053</v>
      </c>
      <c r="AJ71" s="79">
        <v>2054</v>
      </c>
      <c r="AK71" s="79">
        <v>2055</v>
      </c>
      <c r="AL71" s="79">
        <v>2056</v>
      </c>
      <c r="AM71" s="79">
        <v>2057</v>
      </c>
      <c r="AN71" s="79">
        <v>2058</v>
      </c>
      <c r="AO71" s="79">
        <v>2059</v>
      </c>
      <c r="AP71" s="79">
        <v>2060</v>
      </c>
    </row>
    <row r="72" spans="2:42" hidden="1" outlineLevel="1" x14ac:dyDescent="0.25">
      <c r="B72" s="538" t="s">
        <v>564</v>
      </c>
      <c r="C72" s="539">
        <f>C415</f>
        <v>0.19919000000000001</v>
      </c>
      <c r="D72" s="540">
        <f t="shared" ref="D72:AE72" si="5">C72-($C$72-$AF$72)/29</f>
        <v>0.19232137931034482</v>
      </c>
      <c r="E72" s="540">
        <f t="shared" si="5"/>
        <v>0.18545275862068963</v>
      </c>
      <c r="F72" s="540">
        <f t="shared" si="5"/>
        <v>0.17858413793103445</v>
      </c>
      <c r="G72" s="540">
        <f t="shared" si="5"/>
        <v>0.17171551724137926</v>
      </c>
      <c r="H72" s="540">
        <f t="shared" si="5"/>
        <v>0.16484689655172408</v>
      </c>
      <c r="I72" s="80">
        <f t="shared" si="5"/>
        <v>0.15797827586206889</v>
      </c>
      <c r="J72" s="80">
        <f t="shared" si="5"/>
        <v>0.1511096551724137</v>
      </c>
      <c r="K72" s="80">
        <f t="shared" si="5"/>
        <v>0.14424103448275852</v>
      </c>
      <c r="L72" s="80">
        <f t="shared" si="5"/>
        <v>0.13737241379310333</v>
      </c>
      <c r="M72" s="80">
        <f t="shared" si="5"/>
        <v>0.13050379310344815</v>
      </c>
      <c r="N72" s="80">
        <f t="shared" si="5"/>
        <v>0.12363517241379297</v>
      </c>
      <c r="O72" s="80">
        <f t="shared" si="5"/>
        <v>0.1167665517241378</v>
      </c>
      <c r="P72" s="80">
        <f t="shared" si="5"/>
        <v>0.10989793103448263</v>
      </c>
      <c r="Q72" s="80">
        <f t="shared" si="5"/>
        <v>0.10302931034482746</v>
      </c>
      <c r="R72" s="80">
        <f t="shared" si="5"/>
        <v>9.6160689655172285E-2</v>
      </c>
      <c r="S72" s="80">
        <f t="shared" si="5"/>
        <v>8.9292068965517113E-2</v>
      </c>
      <c r="T72" s="80">
        <f t="shared" si="5"/>
        <v>8.2423448275861941E-2</v>
      </c>
      <c r="U72" s="80">
        <f t="shared" si="5"/>
        <v>7.5554827586206769E-2</v>
      </c>
      <c r="V72" s="80">
        <f t="shared" si="5"/>
        <v>6.8686206896551597E-2</v>
      </c>
      <c r="W72" s="80">
        <f t="shared" si="5"/>
        <v>6.1817586206896424E-2</v>
      </c>
      <c r="X72" s="80">
        <f t="shared" si="5"/>
        <v>5.4948965517241252E-2</v>
      </c>
      <c r="Y72" s="80">
        <f t="shared" si="5"/>
        <v>4.808034482758608E-2</v>
      </c>
      <c r="Z72" s="80">
        <f t="shared" si="5"/>
        <v>4.1211724137930908E-2</v>
      </c>
      <c r="AA72" s="80">
        <f t="shared" si="5"/>
        <v>3.4343103448275736E-2</v>
      </c>
      <c r="AB72" s="80">
        <f t="shared" si="5"/>
        <v>2.7474482758620564E-2</v>
      </c>
      <c r="AC72" s="80">
        <f t="shared" si="5"/>
        <v>2.0605862068965392E-2</v>
      </c>
      <c r="AD72" s="80">
        <f t="shared" si="5"/>
        <v>1.3737241379310219E-2</v>
      </c>
      <c r="AE72" s="80">
        <f t="shared" si="5"/>
        <v>6.8686206896550464E-3</v>
      </c>
      <c r="AF72" s="145">
        <v>0</v>
      </c>
      <c r="AG72" s="80">
        <f t="shared" ref="AG72:AO72" si="6">AF72-($AF$72-$AP$72)/10</f>
        <v>0</v>
      </c>
      <c r="AH72" s="80">
        <f t="shared" si="6"/>
        <v>0</v>
      </c>
      <c r="AI72" s="80">
        <f t="shared" si="6"/>
        <v>0</v>
      </c>
      <c r="AJ72" s="80">
        <f t="shared" si="6"/>
        <v>0</v>
      </c>
      <c r="AK72" s="80">
        <f t="shared" si="6"/>
        <v>0</v>
      </c>
      <c r="AL72" s="80">
        <f t="shared" si="6"/>
        <v>0</v>
      </c>
      <c r="AM72" s="80">
        <f t="shared" si="6"/>
        <v>0</v>
      </c>
      <c r="AN72" s="80">
        <f t="shared" si="6"/>
        <v>0</v>
      </c>
      <c r="AO72" s="80">
        <f t="shared" si="6"/>
        <v>0</v>
      </c>
      <c r="AP72" s="81">
        <v>0</v>
      </c>
    </row>
    <row r="73" spans="2:42" hidden="1" outlineLevel="1" x14ac:dyDescent="0.25">
      <c r="B73" s="538" t="s">
        <v>485</v>
      </c>
      <c r="C73" s="541">
        <v>0.114</v>
      </c>
      <c r="D73" s="542">
        <f>C73-($C$73-$H$73)/5</f>
        <v>0.10314000000000001</v>
      </c>
      <c r="E73" s="542">
        <f t="shared" ref="E73:G73" si="7">D73-($C$73-$H$73)/5</f>
        <v>9.2280000000000015E-2</v>
      </c>
      <c r="F73" s="542">
        <f t="shared" si="7"/>
        <v>8.142000000000002E-2</v>
      </c>
      <c r="G73" s="542">
        <f t="shared" si="7"/>
        <v>7.0560000000000025E-2</v>
      </c>
      <c r="H73" s="543">
        <f>'SM2'!C44</f>
        <v>5.9700000000000003E-2</v>
      </c>
      <c r="I73" s="344">
        <f>'SM2'!D44</f>
        <v>4.4775000000000002E-2</v>
      </c>
      <c r="J73" s="344">
        <f>'SM2'!E44</f>
        <v>2.9850000000000002E-2</v>
      </c>
      <c r="K73" s="344">
        <f>'SM2'!F44</f>
        <v>1.4925000000000001E-2</v>
      </c>
      <c r="L73" s="344">
        <f>'SM2'!G44</f>
        <v>0</v>
      </c>
      <c r="M73" s="344">
        <f>'SM2'!H44</f>
        <v>0</v>
      </c>
      <c r="N73" s="344">
        <f>'SM2'!I44</f>
        <v>0</v>
      </c>
      <c r="O73" s="344">
        <f>'SM2'!J44</f>
        <v>0</v>
      </c>
      <c r="P73" s="344">
        <f>'SM2'!K44</f>
        <v>0</v>
      </c>
      <c r="Q73" s="344">
        <f>'SM2'!L44</f>
        <v>0</v>
      </c>
      <c r="R73" s="344">
        <f>'SM2'!M44</f>
        <v>0</v>
      </c>
      <c r="S73" s="344">
        <f>'SM2'!N44</f>
        <v>0</v>
      </c>
      <c r="T73" s="344">
        <f>'SM2'!O44</f>
        <v>0</v>
      </c>
      <c r="U73" s="344">
        <f>'SM2'!P44</f>
        <v>0</v>
      </c>
      <c r="V73" s="344">
        <f>'SM2'!Q44</f>
        <v>0</v>
      </c>
      <c r="W73" s="344">
        <f>'SM2'!R44</f>
        <v>0</v>
      </c>
      <c r="X73" s="344">
        <f>'SM2'!S44</f>
        <v>0</v>
      </c>
      <c r="Y73" s="344">
        <f>'SM2'!T44</f>
        <v>0</v>
      </c>
      <c r="Z73" s="344">
        <f>'SM2'!U44</f>
        <v>0</v>
      </c>
      <c r="AA73" s="344">
        <f>'SM2'!V44</f>
        <v>0</v>
      </c>
      <c r="AB73" s="344">
        <f>'SM2'!W44</f>
        <v>0</v>
      </c>
      <c r="AC73" s="344">
        <f>'SM2'!X44</f>
        <v>0</v>
      </c>
      <c r="AD73" s="344">
        <f>'SM2'!Y44</f>
        <v>0</v>
      </c>
      <c r="AE73" s="344">
        <f>'SM2'!Z44</f>
        <v>0</v>
      </c>
      <c r="AF73" s="344">
        <f>'SM2'!AA44</f>
        <v>0</v>
      </c>
      <c r="AG73" s="344">
        <f>'SM2'!AB44</f>
        <v>0</v>
      </c>
      <c r="AH73" s="344">
        <f>'SM2'!AC44</f>
        <v>0</v>
      </c>
      <c r="AI73" s="344">
        <f>'SM2'!AD44</f>
        <v>0</v>
      </c>
      <c r="AJ73" s="344">
        <f>'SM2'!AE44</f>
        <v>0</v>
      </c>
      <c r="AK73" s="344">
        <f>'SM2'!AF44</f>
        <v>0</v>
      </c>
      <c r="AL73" s="344">
        <f>'SM2'!AG44</f>
        <v>0</v>
      </c>
      <c r="AM73" s="344">
        <f>'SM2'!AH44</f>
        <v>0</v>
      </c>
      <c r="AN73" s="344">
        <f>'SM2'!AI44</f>
        <v>0</v>
      </c>
      <c r="AO73" s="344">
        <f>'SM2'!AJ44</f>
        <v>0</v>
      </c>
      <c r="AP73" s="344">
        <f>'SM2'!AK44</f>
        <v>0</v>
      </c>
    </row>
    <row r="74" spans="2:42" hidden="1" outlineLevel="1" x14ac:dyDescent="0.25">
      <c r="B74" s="544"/>
      <c r="C74" s="527" t="s">
        <v>565</v>
      </c>
      <c r="D74" s="516"/>
      <c r="E74" s="516"/>
      <c r="F74" s="516"/>
      <c r="G74" s="516"/>
      <c r="H74" s="534" t="s">
        <v>566</v>
      </c>
    </row>
    <row r="75" spans="2:42" collapsed="1" x14ac:dyDescent="0.25">
      <c r="B75" s="527"/>
      <c r="C75" s="516"/>
      <c r="D75" s="516"/>
      <c r="E75" s="528"/>
      <c r="F75" s="516"/>
      <c r="G75" s="516"/>
      <c r="H75" s="516"/>
    </row>
    <row r="76" spans="2:42" x14ac:dyDescent="0.25">
      <c r="B76" s="514" t="s">
        <v>567</v>
      </c>
      <c r="C76" s="516"/>
      <c r="D76" s="516"/>
      <c r="E76" s="516"/>
      <c r="F76" s="516"/>
      <c r="G76" s="516"/>
      <c r="H76" s="516"/>
    </row>
    <row r="77" spans="2:42" ht="6.75" hidden="1" customHeight="1" outlineLevel="1" x14ac:dyDescent="0.25">
      <c r="B77" s="516"/>
      <c r="C77" s="516"/>
      <c r="D77" s="516"/>
      <c r="E77" s="516"/>
      <c r="F77" s="516"/>
      <c r="G77" s="516"/>
      <c r="H77" s="516"/>
    </row>
    <row r="78" spans="2:42" hidden="1" outlineLevel="1" x14ac:dyDescent="0.25">
      <c r="B78" s="545"/>
      <c r="C78" s="972" t="s">
        <v>568</v>
      </c>
      <c r="D78" s="972"/>
      <c r="E78" s="972"/>
      <c r="F78" s="971" t="s">
        <v>569</v>
      </c>
      <c r="G78" s="971"/>
      <c r="H78" s="516"/>
    </row>
    <row r="79" spans="2:42" ht="27" hidden="1" outlineLevel="1" x14ac:dyDescent="0.25">
      <c r="B79" s="546" t="s">
        <v>570</v>
      </c>
      <c r="C79" s="547" t="s">
        <v>571</v>
      </c>
      <c r="D79" s="547" t="s">
        <v>572</v>
      </c>
      <c r="E79" s="547" t="s">
        <v>573</v>
      </c>
      <c r="F79" s="548" t="s">
        <v>574</v>
      </c>
      <c r="G79" s="548" t="s">
        <v>575</v>
      </c>
      <c r="H79" s="516"/>
      <c r="J79" t="e" vm="1">
        <v>#VALUE!</v>
      </c>
      <c r="K79" s="171" t="e" vm="2">
        <v>#VALUE!</v>
      </c>
      <c r="L79" t="e" vm="3">
        <v>#VALUE!</v>
      </c>
      <c r="M79" t="e" vm="4">
        <v>#VALUE!</v>
      </c>
    </row>
    <row r="80" spans="2:42" hidden="1" outlineLevel="1" x14ac:dyDescent="0.25">
      <c r="B80" s="549" t="s">
        <v>576</v>
      </c>
      <c r="C80" s="550">
        <v>81</v>
      </c>
      <c r="D80" s="551">
        <v>115887.14000000001</v>
      </c>
      <c r="E80" s="552">
        <v>0.16</v>
      </c>
      <c r="F80" s="553">
        <v>3.793103448275862E-2</v>
      </c>
      <c r="G80" s="553">
        <v>0.15</v>
      </c>
      <c r="H80" s="551">
        <f>D80/C80</f>
        <v>1430.7054320987656</v>
      </c>
    </row>
    <row r="81" spans="2:8" hidden="1" outlineLevel="1" x14ac:dyDescent="0.25">
      <c r="B81" s="545" t="s">
        <v>577</v>
      </c>
      <c r="C81" s="554">
        <v>152</v>
      </c>
      <c r="D81" s="555">
        <v>125359.09999999996</v>
      </c>
      <c r="E81" s="556">
        <v>0.09</v>
      </c>
      <c r="F81" s="557">
        <v>3.7209302325581395E-2</v>
      </c>
      <c r="G81" s="557">
        <v>0.1</v>
      </c>
      <c r="H81" s="551">
        <f t="shared" ref="H81:H85" si="8">D81/C81</f>
        <v>824.73092105263129</v>
      </c>
    </row>
    <row r="82" spans="2:8" hidden="1" outlineLevel="1" x14ac:dyDescent="0.25">
      <c r="B82" s="549" t="s">
        <v>578</v>
      </c>
      <c r="C82" s="551">
        <v>174</v>
      </c>
      <c r="D82" s="551">
        <v>251753.2000000001</v>
      </c>
      <c r="E82" s="552">
        <v>0.28000000000000003</v>
      </c>
      <c r="F82" s="553">
        <v>0.13696969696969696</v>
      </c>
      <c r="G82" s="553">
        <v>0.39</v>
      </c>
      <c r="H82" s="551">
        <f t="shared" si="8"/>
        <v>1446.8574712643683</v>
      </c>
    </row>
    <row r="83" spans="2:8" hidden="1" outlineLevel="1" x14ac:dyDescent="0.25">
      <c r="B83" s="545" t="s">
        <v>579</v>
      </c>
      <c r="C83" s="555">
        <v>231</v>
      </c>
      <c r="D83" s="555">
        <v>592692.89999999991</v>
      </c>
      <c r="E83" s="556">
        <v>0.46</v>
      </c>
      <c r="F83" s="557">
        <v>0.14522981846272692</v>
      </c>
      <c r="G83" s="557">
        <v>0.41</v>
      </c>
      <c r="H83" s="551">
        <f t="shared" si="8"/>
        <v>2565.7701298701295</v>
      </c>
    </row>
    <row r="84" spans="2:8" hidden="1" outlineLevel="1" x14ac:dyDescent="0.25">
      <c r="B84" s="549" t="s">
        <v>580</v>
      </c>
      <c r="C84" s="550">
        <v>19</v>
      </c>
      <c r="D84" s="551">
        <v>34555.700000000004</v>
      </c>
      <c r="E84" s="552">
        <v>0.3</v>
      </c>
      <c r="F84" s="553">
        <v>0.20542635658914729</v>
      </c>
      <c r="G84" s="553">
        <v>0.1</v>
      </c>
      <c r="H84" s="551">
        <f t="shared" si="8"/>
        <v>1818.7210526315791</v>
      </c>
    </row>
    <row r="85" spans="2:8" hidden="1" outlineLevel="1" x14ac:dyDescent="0.25">
      <c r="B85" s="545" t="s">
        <v>581</v>
      </c>
      <c r="C85" s="554">
        <v>352</v>
      </c>
      <c r="D85" s="555">
        <v>64261.899999999972</v>
      </c>
      <c r="E85" s="556">
        <v>0.15</v>
      </c>
      <c r="F85" s="557">
        <v>0.10294117647058823</v>
      </c>
      <c r="G85" s="557">
        <v>0.1</v>
      </c>
      <c r="H85" s="551">
        <f t="shared" si="8"/>
        <v>182.56221590909084</v>
      </c>
    </row>
    <row r="86" spans="2:8" hidden="1" outlineLevel="1" x14ac:dyDescent="0.25">
      <c r="B86" s="558" t="s">
        <v>582</v>
      </c>
      <c r="C86" s="559">
        <f>SUM(C80:C85)</f>
        <v>1009</v>
      </c>
      <c r="D86" s="559">
        <v>1184509.9399999997</v>
      </c>
      <c r="E86" s="560">
        <v>0.33</v>
      </c>
      <c r="F86" s="561">
        <v>0.12978723404255318</v>
      </c>
      <c r="G86" s="561">
        <v>0.35299999999999998</v>
      </c>
      <c r="H86" s="516"/>
    </row>
    <row r="87" spans="2:8" hidden="1" outlineLevel="1" x14ac:dyDescent="0.25">
      <c r="B87" s="562" t="s">
        <v>583</v>
      </c>
      <c r="C87" s="516"/>
      <c r="D87" s="516"/>
      <c r="E87" s="516"/>
      <c r="F87" s="516"/>
      <c r="G87" s="516"/>
      <c r="H87" s="516"/>
    </row>
    <row r="88" spans="2:8" hidden="1" outlineLevel="1" x14ac:dyDescent="0.25">
      <c r="B88" s="562" t="s">
        <v>584</v>
      </c>
      <c r="C88" s="516"/>
      <c r="D88" s="516"/>
      <c r="E88" s="516"/>
      <c r="F88" s="516"/>
      <c r="G88" s="516"/>
      <c r="H88" s="516"/>
    </row>
    <row r="89" spans="2:8" hidden="1" outlineLevel="1" x14ac:dyDescent="0.25">
      <c r="B89" s="562" t="s">
        <v>585</v>
      </c>
      <c r="C89" s="516"/>
      <c r="D89" s="516"/>
      <c r="E89" s="516"/>
      <c r="F89" s="516"/>
      <c r="G89" s="516"/>
      <c r="H89" s="516"/>
    </row>
    <row r="90" spans="2:8" hidden="1" outlineLevel="1" x14ac:dyDescent="0.25">
      <c r="B90" s="516"/>
      <c r="C90" s="516"/>
      <c r="D90" s="516"/>
      <c r="E90" s="516"/>
      <c r="F90" s="516"/>
      <c r="G90" s="516"/>
      <c r="H90" s="516"/>
    </row>
    <row r="91" spans="2:8" hidden="1" outlineLevel="1" x14ac:dyDescent="0.25">
      <c r="B91" s="516" t="s">
        <v>586</v>
      </c>
      <c r="C91" s="516"/>
      <c r="D91" s="516"/>
      <c r="E91" s="516"/>
      <c r="F91" s="516"/>
      <c r="G91" s="516"/>
      <c r="H91" s="516"/>
    </row>
    <row r="92" spans="2:8" hidden="1" outlineLevel="1" x14ac:dyDescent="0.25">
      <c r="B92" s="563"/>
      <c r="C92" s="564" t="s">
        <v>587</v>
      </c>
      <c r="D92" s="564" t="s">
        <v>588</v>
      </c>
      <c r="E92" s="516"/>
      <c r="F92" s="516"/>
      <c r="G92" s="516"/>
      <c r="H92" s="516"/>
    </row>
    <row r="93" spans="2:8" hidden="1" outlineLevel="1" x14ac:dyDescent="0.25">
      <c r="B93" s="535" t="s">
        <v>589</v>
      </c>
      <c r="C93" s="565">
        <v>2.4</v>
      </c>
      <c r="D93" s="566">
        <v>3.69</v>
      </c>
      <c r="E93" s="516"/>
      <c r="F93" s="516"/>
      <c r="G93" s="516"/>
      <c r="H93" s="516"/>
    </row>
    <row r="94" spans="2:8" hidden="1" outlineLevel="1" x14ac:dyDescent="0.25">
      <c r="B94" s="535" t="s">
        <v>590</v>
      </c>
      <c r="C94" s="567">
        <v>0.39</v>
      </c>
      <c r="D94" s="567">
        <v>0.44</v>
      </c>
      <c r="E94" s="516"/>
      <c r="F94" s="516"/>
      <c r="G94" s="516"/>
      <c r="H94" s="516"/>
    </row>
    <row r="95" spans="2:8" hidden="1" outlineLevel="1" x14ac:dyDescent="0.25">
      <c r="B95" s="568" t="s">
        <v>591</v>
      </c>
      <c r="C95" s="569">
        <v>1106377</v>
      </c>
      <c r="D95" s="569">
        <v>5064033</v>
      </c>
      <c r="E95" s="516"/>
      <c r="F95" s="516"/>
      <c r="G95" s="516"/>
      <c r="H95" s="516"/>
    </row>
    <row r="96" spans="2:8" hidden="1" outlineLevel="1" x14ac:dyDescent="0.25">
      <c r="B96" s="570" t="s">
        <v>592</v>
      </c>
      <c r="C96" s="516"/>
      <c r="D96" s="516"/>
      <c r="E96" s="516"/>
      <c r="F96" s="516"/>
      <c r="G96" s="516"/>
      <c r="H96" s="516"/>
    </row>
    <row r="97" spans="2:14" hidden="1" outlineLevel="1" x14ac:dyDescent="0.25">
      <c r="B97" s="516"/>
      <c r="C97" s="516"/>
      <c r="D97" s="516"/>
      <c r="E97" s="516"/>
      <c r="F97" s="516"/>
      <c r="G97" s="516"/>
      <c r="H97" s="516"/>
    </row>
    <row r="98" spans="2:14" hidden="1" outlineLevel="1" x14ac:dyDescent="0.25">
      <c r="B98" s="516"/>
      <c r="C98" s="516"/>
      <c r="D98" s="516"/>
      <c r="E98" s="516"/>
      <c r="F98" s="516"/>
      <c r="G98" s="516"/>
      <c r="H98" s="516"/>
    </row>
    <row r="99" spans="2:14" hidden="1" outlineLevel="1" x14ac:dyDescent="0.25">
      <c r="B99" s="516"/>
      <c r="C99" s="516"/>
      <c r="D99" s="516"/>
      <c r="E99" s="516"/>
      <c r="F99" s="516"/>
      <c r="G99" s="516"/>
      <c r="H99" s="516"/>
    </row>
    <row r="100" spans="2:14" hidden="1" outlineLevel="1" x14ac:dyDescent="0.25">
      <c r="B100" s="516"/>
      <c r="C100" s="516"/>
      <c r="D100" s="516"/>
      <c r="E100" s="516"/>
      <c r="F100" s="516"/>
      <c r="G100" s="516"/>
      <c r="H100" s="516"/>
    </row>
    <row r="101" spans="2:14" hidden="1" outlineLevel="1" x14ac:dyDescent="0.25">
      <c r="B101" s="516"/>
      <c r="C101" s="516"/>
      <c r="D101" s="516"/>
      <c r="E101" s="516"/>
      <c r="F101" s="516"/>
      <c r="G101" s="516"/>
      <c r="H101" s="516"/>
    </row>
    <row r="102" spans="2:14" hidden="1" outlineLevel="1" x14ac:dyDescent="0.25">
      <c r="B102" s="516"/>
      <c r="C102" s="516"/>
      <c r="D102" s="516"/>
      <c r="E102" s="516"/>
      <c r="F102" s="516"/>
      <c r="G102" s="516"/>
      <c r="H102" s="516"/>
    </row>
    <row r="103" spans="2:14" hidden="1" outlineLevel="1" x14ac:dyDescent="0.25">
      <c r="B103" s="516"/>
      <c r="C103" s="516"/>
      <c r="D103" s="516"/>
      <c r="E103" s="516"/>
      <c r="F103" s="516"/>
      <c r="G103" s="516"/>
      <c r="H103" s="516"/>
    </row>
    <row r="104" spans="2:14" hidden="1" outlineLevel="1" x14ac:dyDescent="0.25">
      <c r="B104" s="516"/>
      <c r="C104" s="516"/>
      <c r="D104" s="516"/>
      <c r="E104" s="516"/>
      <c r="F104" s="516"/>
      <c r="G104" s="516"/>
      <c r="H104" s="516"/>
    </row>
    <row r="105" spans="2:14" collapsed="1" x14ac:dyDescent="0.25">
      <c r="B105" s="514"/>
      <c r="C105" s="516"/>
      <c r="D105" s="516"/>
      <c r="E105" s="516"/>
      <c r="F105" s="516"/>
      <c r="G105" s="516"/>
      <c r="H105" s="516"/>
    </row>
    <row r="106" spans="2:14" x14ac:dyDescent="0.25">
      <c r="B106" s="514" t="s">
        <v>593</v>
      </c>
      <c r="C106" s="535"/>
      <c r="D106" s="535"/>
      <c r="E106" s="535"/>
      <c r="F106" s="535"/>
      <c r="G106" s="535"/>
      <c r="H106" s="535"/>
      <c r="I106" s="241"/>
      <c r="J106" s="241"/>
      <c r="K106" s="241"/>
      <c r="L106" s="241"/>
      <c r="M106" s="241"/>
      <c r="N106" s="241"/>
    </row>
    <row r="107" spans="2:14" hidden="1" outlineLevel="1" x14ac:dyDescent="0.25">
      <c r="B107" s="516" t="s">
        <v>594</v>
      </c>
      <c r="C107" s="535"/>
      <c r="D107" s="535"/>
      <c r="E107" s="535"/>
      <c r="F107" s="535"/>
      <c r="G107" s="535"/>
      <c r="H107" s="535"/>
      <c r="I107" s="241"/>
      <c r="J107" s="241"/>
      <c r="K107" s="241"/>
      <c r="L107" s="241"/>
      <c r="M107" s="241"/>
      <c r="N107" s="241"/>
    </row>
    <row r="108" spans="2:14" ht="15.75" hidden="1" outlineLevel="1" thickBot="1" x14ac:dyDescent="0.3">
      <c r="B108" s="571" t="s">
        <v>595</v>
      </c>
      <c r="C108" s="572" t="s">
        <v>596</v>
      </c>
      <c r="D108" s="572" t="s">
        <v>597</v>
      </c>
      <c r="E108" s="572" t="s">
        <v>598</v>
      </c>
      <c r="F108" s="572" t="s">
        <v>599</v>
      </c>
      <c r="G108" s="572" t="s">
        <v>600</v>
      </c>
      <c r="H108" s="572" t="s">
        <v>601</v>
      </c>
      <c r="I108" s="249" t="s">
        <v>602</v>
      </c>
      <c r="J108" s="249" t="s">
        <v>603</v>
      </c>
      <c r="K108" s="249" t="s">
        <v>520</v>
      </c>
      <c r="M108" s="241"/>
      <c r="N108" s="241"/>
    </row>
    <row r="109" spans="2:14" ht="15.75" hidden="1" outlineLevel="1" thickTop="1" x14ac:dyDescent="0.25">
      <c r="B109" s="573"/>
      <c r="C109" s="574"/>
      <c r="D109" s="574"/>
      <c r="E109" s="574"/>
      <c r="F109" s="574"/>
      <c r="G109" s="574"/>
      <c r="H109" s="574"/>
      <c r="I109" s="242"/>
      <c r="J109" s="242"/>
      <c r="K109" s="242"/>
      <c r="L109" s="241"/>
      <c r="M109" s="241"/>
      <c r="N109" s="241"/>
    </row>
    <row r="110" spans="2:14" hidden="1" outlineLevel="1" x14ac:dyDescent="0.25">
      <c r="B110" s="575">
        <v>2025</v>
      </c>
      <c r="C110" s="576">
        <v>13</v>
      </c>
      <c r="D110" s="576">
        <v>24</v>
      </c>
      <c r="E110" s="576">
        <v>61</v>
      </c>
      <c r="F110" s="576">
        <v>33</v>
      </c>
      <c r="G110" s="576">
        <v>15</v>
      </c>
      <c r="H110" s="576">
        <v>10</v>
      </c>
      <c r="I110" s="243">
        <v>2</v>
      </c>
      <c r="J110" s="243">
        <v>2</v>
      </c>
      <c r="K110" s="243">
        <v>160</v>
      </c>
      <c r="L110" s="241"/>
      <c r="M110" s="241"/>
      <c r="N110" s="241"/>
    </row>
    <row r="111" spans="2:14" hidden="1" outlineLevel="1" x14ac:dyDescent="0.25">
      <c r="B111" s="575">
        <v>2024</v>
      </c>
      <c r="C111" s="576">
        <v>15</v>
      </c>
      <c r="D111" s="576">
        <v>52</v>
      </c>
      <c r="E111" s="576">
        <v>79</v>
      </c>
      <c r="F111" s="576">
        <v>41</v>
      </c>
      <c r="G111" s="576">
        <v>27</v>
      </c>
      <c r="H111" s="576">
        <v>16</v>
      </c>
      <c r="I111" s="243">
        <v>9</v>
      </c>
      <c r="J111" s="243">
        <v>6</v>
      </c>
      <c r="K111" s="243">
        <v>245</v>
      </c>
      <c r="L111" s="241"/>
      <c r="M111" s="241"/>
      <c r="N111" s="241"/>
    </row>
    <row r="112" spans="2:14" hidden="1" outlineLevel="1" x14ac:dyDescent="0.25">
      <c r="B112" s="575">
        <v>2023</v>
      </c>
      <c r="C112" s="576">
        <v>17</v>
      </c>
      <c r="D112" s="576">
        <v>38</v>
      </c>
      <c r="E112" s="576">
        <v>51</v>
      </c>
      <c r="F112" s="576">
        <v>42</v>
      </c>
      <c r="G112" s="576">
        <v>34</v>
      </c>
      <c r="H112" s="576">
        <v>18</v>
      </c>
      <c r="I112" s="243">
        <v>5</v>
      </c>
      <c r="J112" s="243">
        <v>2</v>
      </c>
      <c r="K112" s="243">
        <v>207</v>
      </c>
      <c r="L112" s="241"/>
      <c r="M112" s="241"/>
      <c r="N112" s="241"/>
    </row>
    <row r="113" spans="1:14" hidden="1" outlineLevel="1" x14ac:dyDescent="0.25">
      <c r="B113" s="575">
        <v>2022</v>
      </c>
      <c r="C113" s="576">
        <v>20</v>
      </c>
      <c r="D113" s="576">
        <v>27</v>
      </c>
      <c r="E113" s="576">
        <v>29</v>
      </c>
      <c r="F113" s="576">
        <v>26</v>
      </c>
      <c r="G113" s="576">
        <v>15</v>
      </c>
      <c r="H113" s="576">
        <v>1</v>
      </c>
      <c r="I113" s="243">
        <v>1</v>
      </c>
      <c r="J113" s="243">
        <v>0</v>
      </c>
      <c r="K113" s="243">
        <v>119</v>
      </c>
      <c r="L113" s="241"/>
      <c r="M113" s="241"/>
      <c r="N113" s="241"/>
    </row>
    <row r="114" spans="1:14" hidden="1" outlineLevel="1" x14ac:dyDescent="0.25">
      <c r="B114" s="575">
        <v>2021</v>
      </c>
      <c r="C114" s="576">
        <v>54</v>
      </c>
      <c r="D114" s="576">
        <v>51</v>
      </c>
      <c r="E114" s="576">
        <v>62</v>
      </c>
      <c r="F114" s="576">
        <v>35</v>
      </c>
      <c r="G114" s="576">
        <v>22</v>
      </c>
      <c r="H114" s="576">
        <v>15</v>
      </c>
      <c r="I114" s="243">
        <v>6</v>
      </c>
      <c r="J114" s="243">
        <v>1</v>
      </c>
      <c r="K114" s="243">
        <v>246</v>
      </c>
      <c r="L114" s="241"/>
      <c r="M114" s="241"/>
      <c r="N114" s="241"/>
    </row>
    <row r="115" spans="1:14" hidden="1" outlineLevel="1" x14ac:dyDescent="0.25">
      <c r="B115" s="575">
        <v>2020</v>
      </c>
      <c r="C115" s="576">
        <v>56</v>
      </c>
      <c r="D115" s="576">
        <v>69</v>
      </c>
      <c r="E115" s="576">
        <v>48</v>
      </c>
      <c r="F115" s="576">
        <v>42</v>
      </c>
      <c r="G115" s="576">
        <v>15</v>
      </c>
      <c r="H115" s="576">
        <v>12</v>
      </c>
      <c r="I115" s="243">
        <v>7</v>
      </c>
      <c r="J115" s="243">
        <v>4</v>
      </c>
      <c r="K115" s="243">
        <v>253</v>
      </c>
      <c r="L115" s="241"/>
      <c r="M115" s="241"/>
      <c r="N115" s="241"/>
    </row>
    <row r="116" spans="1:14" hidden="1" outlineLevel="1" x14ac:dyDescent="0.25">
      <c r="B116" s="575">
        <v>2019</v>
      </c>
      <c r="C116" s="576">
        <v>28</v>
      </c>
      <c r="D116" s="576">
        <v>138</v>
      </c>
      <c r="E116" s="576">
        <v>44</v>
      </c>
      <c r="F116" s="576">
        <v>27</v>
      </c>
      <c r="G116" s="576">
        <v>18</v>
      </c>
      <c r="H116" s="576">
        <v>14</v>
      </c>
      <c r="I116" s="243">
        <v>6</v>
      </c>
      <c r="J116" s="243">
        <v>4</v>
      </c>
      <c r="K116" s="243">
        <v>279</v>
      </c>
      <c r="L116" s="241"/>
      <c r="M116" s="241"/>
      <c r="N116" s="241"/>
    </row>
    <row r="117" spans="1:14" hidden="1" outlineLevel="1" x14ac:dyDescent="0.25">
      <c r="B117" s="575">
        <v>2018</v>
      </c>
      <c r="C117" s="576">
        <v>5</v>
      </c>
      <c r="D117" s="576">
        <v>116</v>
      </c>
      <c r="E117" s="576">
        <v>71</v>
      </c>
      <c r="F117" s="576">
        <v>29</v>
      </c>
      <c r="G117" s="576">
        <v>21</v>
      </c>
      <c r="H117" s="576">
        <v>12</v>
      </c>
      <c r="I117" s="243">
        <v>4</v>
      </c>
      <c r="J117" s="243">
        <v>2</v>
      </c>
      <c r="K117" s="243">
        <v>260</v>
      </c>
      <c r="L117" s="241"/>
      <c r="M117" s="241"/>
      <c r="N117" s="241"/>
    </row>
    <row r="118" spans="1:14" hidden="1" outlineLevel="1" x14ac:dyDescent="0.25">
      <c r="B118" s="575">
        <v>2017</v>
      </c>
      <c r="C118" s="576">
        <v>10</v>
      </c>
      <c r="D118" s="576">
        <v>150</v>
      </c>
      <c r="E118" s="576">
        <v>118</v>
      </c>
      <c r="F118" s="576">
        <v>44</v>
      </c>
      <c r="G118" s="576">
        <v>29</v>
      </c>
      <c r="H118" s="576">
        <v>31</v>
      </c>
      <c r="I118" s="243">
        <v>10</v>
      </c>
      <c r="J118" s="243">
        <v>7</v>
      </c>
      <c r="K118" s="243">
        <v>399</v>
      </c>
      <c r="L118" s="241"/>
      <c r="M118" s="241"/>
      <c r="N118" s="241"/>
    </row>
    <row r="119" spans="1:14" hidden="1" outlineLevel="1" x14ac:dyDescent="0.25">
      <c r="B119" s="575">
        <v>2016</v>
      </c>
      <c r="C119" s="576">
        <v>6</v>
      </c>
      <c r="D119" s="576">
        <v>97</v>
      </c>
      <c r="E119" s="576">
        <v>126</v>
      </c>
      <c r="F119" s="576">
        <v>57</v>
      </c>
      <c r="G119" s="576">
        <v>43</v>
      </c>
      <c r="H119" s="576">
        <v>32</v>
      </c>
      <c r="I119" s="243">
        <v>12</v>
      </c>
      <c r="J119" s="243">
        <v>4</v>
      </c>
      <c r="K119" s="243">
        <v>377</v>
      </c>
      <c r="L119" s="241"/>
      <c r="M119" s="241"/>
      <c r="N119" s="241"/>
    </row>
    <row r="120" spans="1:14" hidden="1" outlineLevel="1" x14ac:dyDescent="0.25">
      <c r="B120" s="575">
        <v>2015</v>
      </c>
      <c r="C120" s="576">
        <v>13</v>
      </c>
      <c r="D120" s="576">
        <v>105</v>
      </c>
      <c r="E120" s="576">
        <v>92</v>
      </c>
      <c r="F120" s="576">
        <v>53</v>
      </c>
      <c r="G120" s="576">
        <v>21</v>
      </c>
      <c r="H120" s="576">
        <v>27</v>
      </c>
      <c r="I120" s="243">
        <v>7</v>
      </c>
      <c r="J120" s="243">
        <v>7</v>
      </c>
      <c r="K120" s="243">
        <v>325</v>
      </c>
      <c r="L120" s="241"/>
      <c r="M120" s="241"/>
      <c r="N120" s="241"/>
    </row>
    <row r="121" spans="1:14" hidden="1" outlineLevel="1" x14ac:dyDescent="0.25">
      <c r="B121" s="575">
        <v>2014</v>
      </c>
      <c r="C121" s="576">
        <v>2</v>
      </c>
      <c r="D121" s="576">
        <v>74</v>
      </c>
      <c r="E121" s="576">
        <v>110</v>
      </c>
      <c r="F121" s="576">
        <v>50</v>
      </c>
      <c r="G121" s="576">
        <v>22</v>
      </c>
      <c r="H121" s="576">
        <v>33</v>
      </c>
      <c r="I121" s="243">
        <v>14</v>
      </c>
      <c r="J121" s="243">
        <v>8</v>
      </c>
      <c r="K121" s="243">
        <v>313</v>
      </c>
      <c r="L121" s="241"/>
      <c r="M121" s="241"/>
      <c r="N121" s="241"/>
    </row>
    <row r="122" spans="1:14" ht="15.75" hidden="1" outlineLevel="1" thickBot="1" x14ac:dyDescent="0.3">
      <c r="B122" s="577">
        <v>2013</v>
      </c>
      <c r="C122" s="578">
        <v>2</v>
      </c>
      <c r="D122" s="578">
        <v>37</v>
      </c>
      <c r="E122" s="578">
        <v>44</v>
      </c>
      <c r="F122" s="578">
        <v>24</v>
      </c>
      <c r="G122" s="578">
        <v>21</v>
      </c>
      <c r="H122" s="578">
        <v>16</v>
      </c>
      <c r="I122" s="244">
        <v>7</v>
      </c>
      <c r="J122" s="244">
        <v>1</v>
      </c>
      <c r="K122" s="244">
        <v>152</v>
      </c>
      <c r="L122" s="241"/>
      <c r="M122" s="241"/>
      <c r="N122" s="241"/>
    </row>
    <row r="123" spans="1:14" hidden="1" outlineLevel="1" x14ac:dyDescent="0.25">
      <c r="B123" s="579" t="s">
        <v>520</v>
      </c>
      <c r="C123" s="580">
        <v>241</v>
      </c>
      <c r="D123" s="580">
        <v>978</v>
      </c>
      <c r="E123" s="580">
        <v>935</v>
      </c>
      <c r="F123" s="580">
        <v>503</v>
      </c>
      <c r="G123" s="580">
        <v>303</v>
      </c>
      <c r="H123" s="580">
        <v>237</v>
      </c>
      <c r="I123" s="245">
        <v>90</v>
      </c>
      <c r="J123" s="245">
        <v>48</v>
      </c>
      <c r="K123" s="246">
        <v>3335</v>
      </c>
      <c r="L123" s="241"/>
      <c r="M123" s="241"/>
      <c r="N123" s="241"/>
    </row>
    <row r="124" spans="1:14" hidden="1" outlineLevel="1" x14ac:dyDescent="0.25">
      <c r="B124" s="581" t="s">
        <v>604</v>
      </c>
      <c r="C124" s="582">
        <f>C123*$E$141</f>
        <v>433425.94034870638</v>
      </c>
      <c r="D124" s="582">
        <f>D123*$E$141</f>
        <v>1758882.0317885263</v>
      </c>
      <c r="E124" s="582">
        <f>E123*$E$141</f>
        <v>1681548.7727221597</v>
      </c>
      <c r="F124" s="583">
        <f>SUM(C124:E124)</f>
        <v>3873856.7448593928</v>
      </c>
      <c r="G124" s="584"/>
      <c r="H124" s="584"/>
      <c r="I124" s="247"/>
      <c r="J124" s="247"/>
      <c r="K124" s="248"/>
      <c r="L124" s="241"/>
      <c r="M124" s="241"/>
      <c r="N124" s="241"/>
    </row>
    <row r="125" spans="1:14" hidden="1" outlineLevel="1" x14ac:dyDescent="0.25">
      <c r="B125" s="516"/>
      <c r="C125" s="516"/>
      <c r="D125" s="516"/>
      <c r="E125" s="516"/>
      <c r="F125" s="516"/>
      <c r="G125" s="516"/>
      <c r="H125" s="516"/>
      <c r="K125" s="241"/>
      <c r="L125" s="241"/>
      <c r="M125" s="241"/>
      <c r="N125" s="241"/>
    </row>
    <row r="126" spans="1:14" hidden="1" outlineLevel="1" x14ac:dyDescent="0.25">
      <c r="A126" s="241"/>
      <c r="B126" s="516"/>
      <c r="C126" s="516"/>
      <c r="D126" s="516"/>
      <c r="E126" s="516"/>
      <c r="F126" s="516"/>
      <c r="G126" s="516"/>
      <c r="H126" s="516"/>
      <c r="K126" s="241"/>
      <c r="L126" s="241"/>
      <c r="M126" s="241"/>
      <c r="N126" s="241"/>
    </row>
    <row r="127" spans="1:14" hidden="1" outlineLevel="1" x14ac:dyDescent="0.25">
      <c r="A127" s="241"/>
      <c r="B127" s="516" t="s">
        <v>605</v>
      </c>
      <c r="C127" s="535"/>
      <c r="D127" s="535"/>
      <c r="E127" s="535"/>
      <c r="F127" s="516"/>
      <c r="G127" s="516"/>
      <c r="H127" s="516"/>
      <c r="K127" s="241"/>
      <c r="L127" s="241"/>
      <c r="M127" s="241"/>
      <c r="N127" s="241"/>
    </row>
    <row r="128" spans="1:14" ht="15.75" hidden="1" outlineLevel="1" thickBot="1" x14ac:dyDescent="0.3">
      <c r="A128" s="241"/>
      <c r="B128" s="571" t="s">
        <v>606</v>
      </c>
      <c r="C128" s="572" t="s">
        <v>532</v>
      </c>
      <c r="D128" s="572" t="s">
        <v>571</v>
      </c>
      <c r="E128" s="572" t="s">
        <v>607</v>
      </c>
      <c r="F128" s="516"/>
      <c r="G128" s="516"/>
      <c r="H128" s="516"/>
      <c r="K128" s="241"/>
      <c r="L128" s="241"/>
      <c r="M128" s="241"/>
      <c r="N128" s="241"/>
    </row>
    <row r="129" spans="1:14" ht="15.75" hidden="1" outlineLevel="1" thickTop="1" x14ac:dyDescent="0.25">
      <c r="A129" s="241"/>
      <c r="B129" s="573"/>
      <c r="C129" s="573"/>
      <c r="D129" s="573"/>
      <c r="E129" s="516"/>
      <c r="F129" s="516"/>
      <c r="G129" s="516"/>
      <c r="H129" s="516"/>
      <c r="K129" s="241"/>
      <c r="L129" s="241"/>
      <c r="M129" s="241"/>
      <c r="N129" s="241"/>
    </row>
    <row r="130" spans="1:14" hidden="1" outlineLevel="1" x14ac:dyDescent="0.25">
      <c r="A130" s="241"/>
      <c r="B130" s="575" t="s">
        <v>608</v>
      </c>
      <c r="C130" s="585">
        <v>440063.7</v>
      </c>
      <c r="D130" s="585">
        <v>698</v>
      </c>
      <c r="E130" s="516"/>
      <c r="F130" s="516"/>
      <c r="G130" s="516"/>
      <c r="H130" s="516"/>
    </row>
    <row r="131" spans="1:14" hidden="1" outlineLevel="1" x14ac:dyDescent="0.25">
      <c r="A131" s="241"/>
      <c r="B131" s="575" t="s">
        <v>609</v>
      </c>
      <c r="C131" s="585">
        <v>1128592.3999999999</v>
      </c>
      <c r="D131" s="585">
        <v>1911</v>
      </c>
      <c r="E131" s="516"/>
      <c r="F131" s="516"/>
      <c r="G131" s="516"/>
      <c r="H131" s="516"/>
    </row>
    <row r="132" spans="1:14" hidden="1" outlineLevel="1" x14ac:dyDescent="0.25">
      <c r="A132" s="241"/>
      <c r="B132" s="575" t="s">
        <v>610</v>
      </c>
      <c r="C132" s="585">
        <v>1131029.7</v>
      </c>
      <c r="D132" s="585">
        <v>1426</v>
      </c>
      <c r="E132" s="516"/>
      <c r="F132" s="516"/>
      <c r="G132" s="516"/>
      <c r="H132" s="516"/>
    </row>
    <row r="133" spans="1:14" hidden="1" outlineLevel="1" x14ac:dyDescent="0.25">
      <c r="A133" s="241"/>
      <c r="B133" s="575" t="s">
        <v>611</v>
      </c>
      <c r="C133" s="585">
        <v>2332199.6</v>
      </c>
      <c r="D133" s="585">
        <v>997</v>
      </c>
      <c r="E133" s="516"/>
      <c r="F133" s="516"/>
      <c r="G133" s="516"/>
      <c r="H133" s="516"/>
    </row>
    <row r="134" spans="1:14" hidden="1" outlineLevel="1" x14ac:dyDescent="0.25">
      <c r="A134" s="241"/>
      <c r="B134" s="575" t="s">
        <v>612</v>
      </c>
      <c r="C134" s="585">
        <v>2575909</v>
      </c>
      <c r="D134" s="585">
        <v>568</v>
      </c>
      <c r="E134" s="516"/>
      <c r="F134" s="516"/>
      <c r="G134" s="516"/>
      <c r="H134" s="516"/>
    </row>
    <row r="135" spans="1:14" hidden="1" outlineLevel="1" x14ac:dyDescent="0.25">
      <c r="A135" s="241"/>
      <c r="B135" s="575" t="s">
        <v>613</v>
      </c>
      <c r="C135" s="585">
        <v>2972405.2</v>
      </c>
      <c r="D135" s="585">
        <v>628</v>
      </c>
      <c r="E135" s="516"/>
      <c r="F135" s="516"/>
      <c r="G135" s="516"/>
      <c r="H135" s="516"/>
    </row>
    <row r="136" spans="1:14" hidden="1" outlineLevel="1" x14ac:dyDescent="0.25">
      <c r="A136" s="241"/>
      <c r="B136" s="575" t="s">
        <v>614</v>
      </c>
      <c r="C136" s="585">
        <v>659557.30000000005</v>
      </c>
      <c r="D136" s="585">
        <v>345</v>
      </c>
      <c r="E136" s="516"/>
      <c r="F136" s="516"/>
      <c r="G136" s="516"/>
      <c r="H136" s="516"/>
    </row>
    <row r="137" spans="1:14" hidden="1" outlineLevel="1" x14ac:dyDescent="0.25">
      <c r="A137" s="241"/>
      <c r="B137" s="575" t="s">
        <v>615</v>
      </c>
      <c r="C137" s="585">
        <v>1471468.5</v>
      </c>
      <c r="D137" s="585">
        <v>805</v>
      </c>
      <c r="E137" s="516"/>
      <c r="F137" s="516"/>
      <c r="G137" s="516"/>
      <c r="H137" s="516"/>
    </row>
    <row r="138" spans="1:14" hidden="1" outlineLevel="1" x14ac:dyDescent="0.25">
      <c r="A138" s="241"/>
      <c r="B138" s="575" t="s">
        <v>616</v>
      </c>
      <c r="C138" s="585">
        <v>1762297.7</v>
      </c>
      <c r="D138" s="585">
        <v>775</v>
      </c>
      <c r="E138" s="516"/>
      <c r="F138" s="516"/>
      <c r="G138" s="516"/>
      <c r="H138" s="516"/>
    </row>
    <row r="139" spans="1:14" hidden="1" outlineLevel="1" x14ac:dyDescent="0.25">
      <c r="A139" s="241"/>
      <c r="B139" s="575" t="s">
        <v>617</v>
      </c>
      <c r="C139" s="585">
        <v>833870.2</v>
      </c>
      <c r="D139" s="585">
        <v>289</v>
      </c>
      <c r="E139" s="516"/>
      <c r="F139" s="516"/>
      <c r="G139" s="516"/>
      <c r="H139" s="516"/>
    </row>
    <row r="140" spans="1:14" ht="15.75" hidden="1" outlineLevel="1" thickBot="1" x14ac:dyDescent="0.3">
      <c r="A140" s="241"/>
      <c r="B140" s="577" t="s">
        <v>618</v>
      </c>
      <c r="C140" s="586">
        <v>680808.4</v>
      </c>
      <c r="D140" s="586">
        <v>448</v>
      </c>
      <c r="E140" s="516"/>
      <c r="F140" s="516"/>
      <c r="G140" s="516"/>
      <c r="H140" s="516"/>
    </row>
    <row r="141" spans="1:14" hidden="1" outlineLevel="1" x14ac:dyDescent="0.25">
      <c r="B141" s="579" t="s">
        <v>520</v>
      </c>
      <c r="C141" s="587">
        <v>15988201.699999999</v>
      </c>
      <c r="D141" s="587">
        <v>8890</v>
      </c>
      <c r="E141" s="587">
        <f>C141/D141</f>
        <v>1798.4478852643419</v>
      </c>
      <c r="F141" s="516"/>
      <c r="G141" s="516"/>
      <c r="H141" s="516"/>
    </row>
    <row r="142" spans="1:14" hidden="1" outlineLevel="1" x14ac:dyDescent="0.25">
      <c r="B142" s="516" t="s">
        <v>619</v>
      </c>
      <c r="C142" s="516"/>
      <c r="D142" s="516"/>
      <c r="E142" s="516"/>
      <c r="F142" s="516"/>
      <c r="G142" s="516"/>
      <c r="H142" s="516"/>
    </row>
    <row r="143" spans="1:14" hidden="1" outlineLevel="1" x14ac:dyDescent="0.25">
      <c r="B143" s="516"/>
      <c r="C143" s="516"/>
      <c r="D143" s="516"/>
      <c r="E143" s="516"/>
      <c r="F143" s="516"/>
      <c r="G143" s="516"/>
      <c r="H143" s="516"/>
    </row>
    <row r="144" spans="1:14" collapsed="1" x14ac:dyDescent="0.25">
      <c r="B144" s="514"/>
      <c r="C144" s="516"/>
      <c r="D144" s="516"/>
      <c r="E144" s="516"/>
      <c r="F144" s="516"/>
      <c r="G144" s="516"/>
      <c r="H144" s="516"/>
    </row>
    <row r="145" spans="2:19" x14ac:dyDescent="0.25">
      <c r="B145" s="514" t="s">
        <v>620</v>
      </c>
      <c r="C145" s="516"/>
      <c r="D145" s="516"/>
      <c r="E145" s="516"/>
      <c r="F145" s="516"/>
      <c r="G145" s="516"/>
      <c r="H145" s="516"/>
    </row>
    <row r="146" spans="2:19" hidden="1" outlineLevel="1" x14ac:dyDescent="0.25">
      <c r="B146" s="214" t="s">
        <v>621</v>
      </c>
      <c r="C146" s="210"/>
      <c r="D146" s="210"/>
      <c r="E146" s="210"/>
      <c r="F146" s="210"/>
      <c r="G146" s="210"/>
      <c r="H146" s="210"/>
      <c r="I146" s="210"/>
      <c r="J146" s="210"/>
      <c r="K146" s="210"/>
      <c r="L146" s="210"/>
      <c r="P146" s="961" t="s">
        <v>622</v>
      </c>
      <c r="Q146" s="961"/>
      <c r="R146" s="173" t="s">
        <v>623</v>
      </c>
      <c r="S146" s="171"/>
    </row>
    <row r="147" spans="2:19" hidden="1" outlineLevel="1" x14ac:dyDescent="0.25">
      <c r="B147" s="211" t="s">
        <v>624</v>
      </c>
      <c r="C147" s="962" t="s">
        <v>625</v>
      </c>
      <c r="D147" s="962"/>
      <c r="E147" s="963"/>
      <c r="F147" s="964" t="s">
        <v>626</v>
      </c>
      <c r="G147" s="962"/>
      <c r="H147" s="963"/>
      <c r="I147" s="965" t="s">
        <v>627</v>
      </c>
      <c r="J147" s="966"/>
      <c r="K147" s="966"/>
      <c r="L147" s="178"/>
      <c r="M147" s="183"/>
      <c r="N147" s="183"/>
      <c r="O147" s="183"/>
      <c r="P147" s="183" t="s">
        <v>529</v>
      </c>
      <c r="Q147" s="183" t="s">
        <v>483</v>
      </c>
      <c r="R147" s="183" t="s">
        <v>529</v>
      </c>
      <c r="S147" s="183" t="s">
        <v>483</v>
      </c>
    </row>
    <row r="148" spans="2:19" hidden="1" outlineLevel="1" x14ac:dyDescent="0.25">
      <c r="B148" s="179"/>
      <c r="C148" s="183" t="s">
        <v>529</v>
      </c>
      <c r="D148" s="183" t="s">
        <v>483</v>
      </c>
      <c r="E148" s="184" t="s">
        <v>628</v>
      </c>
      <c r="F148" s="185" t="s">
        <v>529</v>
      </c>
      <c r="G148" s="183" t="s">
        <v>483</v>
      </c>
      <c r="H148" s="184" t="s">
        <v>628</v>
      </c>
      <c r="I148" s="185" t="s">
        <v>529</v>
      </c>
      <c r="J148" s="183" t="s">
        <v>483</v>
      </c>
      <c r="K148" s="183" t="s">
        <v>628</v>
      </c>
      <c r="L148" s="180"/>
      <c r="M148" s="215" t="s">
        <v>576</v>
      </c>
      <c r="N148" s="215"/>
      <c r="O148" s="215"/>
      <c r="P148" s="217">
        <f>C151</f>
        <v>130</v>
      </c>
      <c r="Q148" s="217">
        <f t="shared" ref="Q148" si="9">D151</f>
        <v>70</v>
      </c>
      <c r="R148" s="217">
        <f>F151</f>
        <v>70</v>
      </c>
      <c r="S148" s="217">
        <f>G151</f>
        <v>45</v>
      </c>
    </row>
    <row r="149" spans="2:19" hidden="1" outlineLevel="1" x14ac:dyDescent="0.25">
      <c r="B149" s="186" t="s">
        <v>629</v>
      </c>
      <c r="C149" s="187">
        <v>190</v>
      </c>
      <c r="D149" s="187">
        <v>25</v>
      </c>
      <c r="E149" s="188">
        <v>174</v>
      </c>
      <c r="F149" s="189">
        <v>0</v>
      </c>
      <c r="G149" s="187">
        <v>65</v>
      </c>
      <c r="H149" s="188">
        <v>130</v>
      </c>
      <c r="I149" s="190">
        <v>1</v>
      </c>
      <c r="J149" s="191">
        <v>-1.6</v>
      </c>
      <c r="K149" s="191">
        <v>0.25</v>
      </c>
      <c r="L149" s="181"/>
      <c r="M149" s="216" t="s">
        <v>577</v>
      </c>
      <c r="N149" s="216"/>
      <c r="O149" s="216"/>
      <c r="P149" s="218">
        <f>C150</f>
        <v>170</v>
      </c>
      <c r="Q149" s="218">
        <f t="shared" ref="Q149" si="10">D150</f>
        <v>35</v>
      </c>
      <c r="R149" s="218">
        <f>F150</f>
        <v>70</v>
      </c>
      <c r="S149" s="218">
        <f>G150</f>
        <v>38</v>
      </c>
    </row>
    <row r="150" spans="2:19" hidden="1" outlineLevel="1" x14ac:dyDescent="0.25">
      <c r="B150" s="192" t="s">
        <v>630</v>
      </c>
      <c r="C150" s="193">
        <v>170</v>
      </c>
      <c r="D150" s="193">
        <v>35</v>
      </c>
      <c r="E150" s="194">
        <v>181</v>
      </c>
      <c r="F150" s="195">
        <v>70</v>
      </c>
      <c r="G150" s="193">
        <v>38</v>
      </c>
      <c r="H150" s="194">
        <v>122</v>
      </c>
      <c r="I150" s="196">
        <v>0.59</v>
      </c>
      <c r="J150" s="197">
        <v>-0.09</v>
      </c>
      <c r="K150" s="197">
        <v>0.33</v>
      </c>
      <c r="L150" s="180"/>
      <c r="M150" s="215" t="s">
        <v>578</v>
      </c>
      <c r="N150" s="215"/>
      <c r="O150" s="215"/>
      <c r="P150" s="217">
        <f>C152</f>
        <v>80</v>
      </c>
      <c r="Q150" s="217">
        <f t="shared" ref="Q150" si="11">D152</f>
        <v>140</v>
      </c>
      <c r="R150" s="217">
        <f>F152</f>
        <v>55</v>
      </c>
      <c r="S150" s="217">
        <f>G152</f>
        <v>85</v>
      </c>
    </row>
    <row r="151" spans="2:19" hidden="1" outlineLevel="1" x14ac:dyDescent="0.25">
      <c r="B151" s="198" t="s">
        <v>631</v>
      </c>
      <c r="C151" s="199">
        <v>130</v>
      </c>
      <c r="D151" s="199">
        <v>70</v>
      </c>
      <c r="E151" s="200">
        <v>225</v>
      </c>
      <c r="F151" s="201">
        <v>70</v>
      </c>
      <c r="G151" s="199">
        <v>45</v>
      </c>
      <c r="H151" s="200">
        <v>136</v>
      </c>
      <c r="I151" s="202">
        <v>0.46</v>
      </c>
      <c r="J151" s="203">
        <v>0.36</v>
      </c>
      <c r="K151" s="203">
        <v>0.4</v>
      </c>
      <c r="L151" s="181"/>
      <c r="M151" s="216" t="s">
        <v>579</v>
      </c>
      <c r="N151" s="216"/>
      <c r="O151" s="216"/>
      <c r="P151" s="218">
        <f>C153</f>
        <v>140</v>
      </c>
      <c r="Q151" s="218">
        <f t="shared" ref="Q151" si="12">D153</f>
        <v>30</v>
      </c>
      <c r="R151" s="218">
        <f>F153</f>
        <v>55</v>
      </c>
      <c r="S151" s="218">
        <f>G153</f>
        <v>40</v>
      </c>
    </row>
    <row r="152" spans="2:19" hidden="1" outlineLevel="1" x14ac:dyDescent="0.25">
      <c r="B152" s="192" t="s">
        <v>632</v>
      </c>
      <c r="C152" s="193">
        <v>80</v>
      </c>
      <c r="D152" s="193">
        <v>140</v>
      </c>
      <c r="E152" s="194">
        <v>332</v>
      </c>
      <c r="F152" s="195">
        <v>55</v>
      </c>
      <c r="G152" s="193">
        <v>85</v>
      </c>
      <c r="H152" s="194">
        <v>206</v>
      </c>
      <c r="I152" s="196">
        <v>0.31</v>
      </c>
      <c r="J152" s="197">
        <v>0.39</v>
      </c>
      <c r="K152" s="197">
        <v>0.38</v>
      </c>
      <c r="L152" s="181"/>
      <c r="M152" s="215" t="s">
        <v>580</v>
      </c>
      <c r="N152" s="215"/>
      <c r="O152" s="215"/>
      <c r="P152" s="217">
        <f>C150</f>
        <v>170</v>
      </c>
      <c r="Q152" s="217">
        <f t="shared" ref="Q152" si="13">D150</f>
        <v>35</v>
      </c>
      <c r="R152" s="217">
        <f>F150</f>
        <v>70</v>
      </c>
      <c r="S152" s="217">
        <f>G150</f>
        <v>38</v>
      </c>
    </row>
    <row r="153" spans="2:19" hidden="1" outlineLevel="1" x14ac:dyDescent="0.25">
      <c r="B153" s="204" t="s">
        <v>633</v>
      </c>
      <c r="C153" s="205">
        <v>140</v>
      </c>
      <c r="D153" s="205">
        <v>30</v>
      </c>
      <c r="E153" s="206">
        <v>151</v>
      </c>
      <c r="F153" s="207">
        <v>55</v>
      </c>
      <c r="G153" s="205">
        <v>40</v>
      </c>
      <c r="H153" s="206">
        <v>116</v>
      </c>
      <c r="I153" s="208">
        <v>0.61</v>
      </c>
      <c r="J153" s="209">
        <v>-0.33</v>
      </c>
      <c r="K153" s="209">
        <v>0.23</v>
      </c>
      <c r="L153" s="180"/>
      <c r="M153" s="216" t="s">
        <v>581</v>
      </c>
      <c r="N153" s="216"/>
      <c r="O153" s="216"/>
      <c r="P153" s="218">
        <f>C152</f>
        <v>80</v>
      </c>
      <c r="Q153" s="218">
        <f t="shared" ref="Q153" si="14">D152</f>
        <v>140</v>
      </c>
      <c r="R153" s="218">
        <f>F152</f>
        <v>55</v>
      </c>
      <c r="S153" s="218">
        <f>G152</f>
        <v>85</v>
      </c>
    </row>
    <row r="154" spans="2:19" hidden="1" outlineLevel="1" x14ac:dyDescent="0.25">
      <c r="B154" s="967"/>
      <c r="C154" s="967"/>
      <c r="D154" s="967"/>
      <c r="E154" s="967"/>
      <c r="F154" s="967"/>
      <c r="G154" s="967"/>
      <c r="H154" s="967"/>
      <c r="I154" s="967"/>
      <c r="J154" s="967"/>
      <c r="K154" s="967"/>
      <c r="L154" s="180"/>
    </row>
    <row r="155" spans="2:19" hidden="1" outlineLevel="1" x14ac:dyDescent="0.25">
      <c r="B155" s="182" t="s">
        <v>484</v>
      </c>
      <c r="C155" s="968" t="s">
        <v>625</v>
      </c>
      <c r="D155" s="968"/>
      <c r="E155" s="969"/>
      <c r="F155" s="970" t="s">
        <v>626</v>
      </c>
      <c r="G155" s="968"/>
      <c r="H155" s="969"/>
      <c r="I155" s="965" t="s">
        <v>627</v>
      </c>
      <c r="J155" s="966"/>
      <c r="K155" s="966"/>
      <c r="L155" s="178"/>
    </row>
    <row r="156" spans="2:19" hidden="1" outlineLevel="1" x14ac:dyDescent="0.25">
      <c r="B156" s="179"/>
      <c r="C156" s="183" t="s">
        <v>529</v>
      </c>
      <c r="D156" s="183" t="s">
        <v>483</v>
      </c>
      <c r="E156" s="184" t="s">
        <v>628</v>
      </c>
      <c r="F156" s="185" t="s">
        <v>529</v>
      </c>
      <c r="G156" s="183" t="s">
        <v>483</v>
      </c>
      <c r="H156" s="184" t="s">
        <v>628</v>
      </c>
      <c r="I156" s="185" t="s">
        <v>529</v>
      </c>
      <c r="J156" s="183" t="s">
        <v>483</v>
      </c>
      <c r="K156" s="183" t="s">
        <v>628</v>
      </c>
      <c r="L156" s="180"/>
      <c r="M156" s="215" t="s">
        <v>576</v>
      </c>
      <c r="N156" s="215"/>
      <c r="O156" s="215"/>
      <c r="P156" s="217">
        <f>C159</f>
        <v>130</v>
      </c>
      <c r="Q156" s="217">
        <f t="shared" ref="Q156" si="15">D159</f>
        <v>70</v>
      </c>
      <c r="R156" s="217">
        <f>F159</f>
        <v>70</v>
      </c>
      <c r="S156" s="217">
        <f>G159</f>
        <v>45</v>
      </c>
    </row>
    <row r="157" spans="2:19" hidden="1" outlineLevel="1" x14ac:dyDescent="0.25">
      <c r="B157" s="186" t="s">
        <v>629</v>
      </c>
      <c r="C157" s="187">
        <v>190</v>
      </c>
      <c r="D157" s="187">
        <v>25</v>
      </c>
      <c r="E157" s="188">
        <v>174</v>
      </c>
      <c r="F157" s="189">
        <v>0</v>
      </c>
      <c r="G157" s="187">
        <v>65</v>
      </c>
      <c r="H157" s="188">
        <v>130</v>
      </c>
      <c r="I157" s="190">
        <v>1</v>
      </c>
      <c r="J157" s="191">
        <v>-1.6</v>
      </c>
      <c r="K157" s="191">
        <v>0.25</v>
      </c>
      <c r="L157" s="181"/>
      <c r="M157" s="216" t="s">
        <v>577</v>
      </c>
      <c r="N157" s="216"/>
      <c r="O157" s="216"/>
      <c r="P157" s="218">
        <f>C158</f>
        <v>170</v>
      </c>
      <c r="Q157" s="218">
        <f t="shared" ref="Q157" si="16">D158</f>
        <v>35</v>
      </c>
      <c r="R157" s="218">
        <f>F158</f>
        <v>70</v>
      </c>
      <c r="S157" s="218">
        <f>G158</f>
        <v>38</v>
      </c>
    </row>
    <row r="158" spans="2:19" hidden="1" outlineLevel="1" x14ac:dyDescent="0.25">
      <c r="B158" s="192" t="s">
        <v>630</v>
      </c>
      <c r="C158" s="193">
        <v>170</v>
      </c>
      <c r="D158" s="193">
        <v>35</v>
      </c>
      <c r="E158" s="194">
        <v>240</v>
      </c>
      <c r="F158" s="195">
        <v>70</v>
      </c>
      <c r="G158" s="193">
        <v>38</v>
      </c>
      <c r="H158" s="194">
        <v>146</v>
      </c>
      <c r="I158" s="196">
        <v>0.59</v>
      </c>
      <c r="J158" s="197">
        <v>-0.09</v>
      </c>
      <c r="K158" s="197">
        <v>0.39</v>
      </c>
      <c r="L158" s="180"/>
      <c r="M158" s="215" t="s">
        <v>578</v>
      </c>
      <c r="N158" s="215"/>
      <c r="O158" s="215"/>
      <c r="P158" s="217">
        <f>C160</f>
        <v>80</v>
      </c>
      <c r="Q158" s="217">
        <f t="shared" ref="Q158:Q159" si="17">D160</f>
        <v>140</v>
      </c>
      <c r="R158" s="217">
        <f>F160</f>
        <v>55</v>
      </c>
      <c r="S158" s="217">
        <f>G160</f>
        <v>85</v>
      </c>
    </row>
    <row r="159" spans="2:19" hidden="1" outlineLevel="1" x14ac:dyDescent="0.25">
      <c r="B159" s="198" t="s">
        <v>631</v>
      </c>
      <c r="C159" s="199">
        <v>130</v>
      </c>
      <c r="D159" s="199">
        <v>70</v>
      </c>
      <c r="E159" s="200">
        <v>270</v>
      </c>
      <c r="F159" s="201">
        <v>70</v>
      </c>
      <c r="G159" s="199">
        <v>45</v>
      </c>
      <c r="H159" s="200">
        <v>160</v>
      </c>
      <c r="I159" s="202">
        <v>0.46</v>
      </c>
      <c r="J159" s="203">
        <v>0.36</v>
      </c>
      <c r="K159" s="203">
        <v>0.41</v>
      </c>
      <c r="L159" s="181"/>
      <c r="M159" s="216" t="s">
        <v>579</v>
      </c>
      <c r="N159" s="216"/>
      <c r="O159" s="216"/>
      <c r="P159" s="218">
        <f>C161</f>
        <v>140</v>
      </c>
      <c r="Q159" s="218">
        <f t="shared" si="17"/>
        <v>30</v>
      </c>
      <c r="R159" s="218">
        <f>F161</f>
        <v>55</v>
      </c>
      <c r="S159" s="218">
        <f>G161</f>
        <v>40</v>
      </c>
    </row>
    <row r="160" spans="2:19" hidden="1" outlineLevel="1" x14ac:dyDescent="0.25">
      <c r="B160" s="192" t="s">
        <v>632</v>
      </c>
      <c r="C160" s="193">
        <v>80</v>
      </c>
      <c r="D160" s="193">
        <v>140</v>
      </c>
      <c r="E160" s="194">
        <v>360</v>
      </c>
      <c r="F160" s="195">
        <v>55</v>
      </c>
      <c r="G160" s="193">
        <v>85</v>
      </c>
      <c r="H160" s="194">
        <v>225</v>
      </c>
      <c r="I160" s="196">
        <v>0.31</v>
      </c>
      <c r="J160" s="197">
        <v>0.39</v>
      </c>
      <c r="K160" s="197">
        <v>0.38</v>
      </c>
      <c r="L160" s="181"/>
      <c r="M160" s="215" t="s">
        <v>580</v>
      </c>
      <c r="N160" s="215"/>
      <c r="O160" s="215"/>
      <c r="P160" s="217">
        <f>C158</f>
        <v>170</v>
      </c>
      <c r="Q160" s="217">
        <f t="shared" ref="Q160" si="18">D158</f>
        <v>35</v>
      </c>
      <c r="R160" s="217">
        <f>F158</f>
        <v>70</v>
      </c>
      <c r="S160" s="217">
        <f>G158</f>
        <v>38</v>
      </c>
    </row>
    <row r="161" spans="2:19" hidden="1" outlineLevel="1" x14ac:dyDescent="0.25">
      <c r="B161" s="204" t="s">
        <v>633</v>
      </c>
      <c r="C161" s="205">
        <v>140</v>
      </c>
      <c r="D161" s="205">
        <v>30</v>
      </c>
      <c r="E161" s="206">
        <v>200</v>
      </c>
      <c r="F161" s="207">
        <v>55</v>
      </c>
      <c r="G161" s="205">
        <v>40</v>
      </c>
      <c r="H161" s="206">
        <v>135</v>
      </c>
      <c r="I161" s="208">
        <v>0.61</v>
      </c>
      <c r="J161" s="209">
        <v>-0.33</v>
      </c>
      <c r="K161" s="209">
        <v>0.33</v>
      </c>
      <c r="L161" s="180"/>
      <c r="M161" s="216" t="s">
        <v>581</v>
      </c>
      <c r="N161" s="216"/>
      <c r="O161" s="216"/>
      <c r="P161" s="218">
        <f>C160</f>
        <v>80</v>
      </c>
      <c r="Q161" s="218">
        <f t="shared" ref="Q161" si="19">D160</f>
        <v>140</v>
      </c>
      <c r="R161" s="218">
        <f>F160</f>
        <v>55</v>
      </c>
      <c r="S161" s="218">
        <f>G160</f>
        <v>85</v>
      </c>
    </row>
    <row r="162" spans="2:19" hidden="1" outlineLevel="1" x14ac:dyDescent="0.25">
      <c r="B162" s="212" t="s">
        <v>634</v>
      </c>
    </row>
    <row r="163" spans="2:19" hidden="1" outlineLevel="1" x14ac:dyDescent="0.25">
      <c r="B163" s="15" t="s">
        <v>635</v>
      </c>
    </row>
    <row r="164" spans="2:19" hidden="1" outlineLevel="1" x14ac:dyDescent="0.25"/>
    <row r="165" spans="2:19" hidden="1" outlineLevel="1" x14ac:dyDescent="0.25">
      <c r="B165" s="174" t="s">
        <v>636</v>
      </c>
    </row>
    <row r="166" spans="2:19" hidden="1" outlineLevel="1" x14ac:dyDescent="0.25">
      <c r="B166" s="222"/>
      <c r="C166" s="222"/>
      <c r="D166" s="223" t="s">
        <v>637</v>
      </c>
      <c r="E166" s="223" t="s">
        <v>638</v>
      </c>
    </row>
    <row r="167" spans="2:19" hidden="1" outlineLevel="1" x14ac:dyDescent="0.25">
      <c r="B167" s="222"/>
      <c r="C167" s="224" t="s">
        <v>639</v>
      </c>
      <c r="D167" s="223" t="s">
        <v>640</v>
      </c>
      <c r="E167" s="223" t="s">
        <v>641</v>
      </c>
    </row>
    <row r="168" spans="2:19" hidden="1" outlineLevel="1" x14ac:dyDescent="0.25">
      <c r="B168" s="174" t="s">
        <v>642</v>
      </c>
      <c r="C168" s="175">
        <v>1.5</v>
      </c>
      <c r="D168" s="176">
        <v>1</v>
      </c>
      <c r="E168" s="172">
        <v>1100</v>
      </c>
    </row>
    <row r="169" spans="2:19" hidden="1" outlineLevel="1" x14ac:dyDescent="0.25">
      <c r="B169" s="174" t="s">
        <v>643</v>
      </c>
      <c r="C169" s="175">
        <v>1.8</v>
      </c>
      <c r="D169" s="176">
        <f>D168*(1+C169/100)</f>
        <v>1.018</v>
      </c>
      <c r="E169" s="177">
        <f t="shared" ref="E169:E175" si="20">$E$168*D169</f>
        <v>1119.8</v>
      </c>
    </row>
    <row r="170" spans="2:19" hidden="1" outlineLevel="1" x14ac:dyDescent="0.25">
      <c r="B170" s="174" t="s">
        <v>644</v>
      </c>
      <c r="C170" s="175">
        <v>1.9</v>
      </c>
      <c r="D170" s="176">
        <f t="shared" ref="D170:D175" si="21">D169*(1+C170/100)</f>
        <v>1.037342</v>
      </c>
      <c r="E170" s="177">
        <f t="shared" si="20"/>
        <v>1141.0762</v>
      </c>
    </row>
    <row r="171" spans="2:19" hidden="1" outlineLevel="1" x14ac:dyDescent="0.25">
      <c r="B171" s="174" t="s">
        <v>645</v>
      </c>
      <c r="C171" s="175">
        <v>0.2</v>
      </c>
      <c r="D171" s="176">
        <f t="shared" si="21"/>
        <v>1.0394166840000001</v>
      </c>
      <c r="E171" s="177">
        <f t="shared" si="20"/>
        <v>1143.3583524000001</v>
      </c>
    </row>
    <row r="172" spans="2:19" hidden="1" outlineLevel="1" x14ac:dyDescent="0.25">
      <c r="B172" s="174" t="s">
        <v>646</v>
      </c>
      <c r="C172" s="175">
        <v>7</v>
      </c>
      <c r="D172" s="176">
        <f t="shared" si="21"/>
        <v>1.1121758518800002</v>
      </c>
      <c r="E172" s="177">
        <f t="shared" si="20"/>
        <v>1223.3934370680004</v>
      </c>
    </row>
    <row r="173" spans="2:19" hidden="1" outlineLevel="1" x14ac:dyDescent="0.25">
      <c r="B173" s="174" t="s">
        <v>647</v>
      </c>
      <c r="C173" s="175">
        <v>16.2</v>
      </c>
      <c r="D173" s="176">
        <f t="shared" si="21"/>
        <v>1.2923483398845601</v>
      </c>
      <c r="E173" s="177">
        <f t="shared" si="20"/>
        <v>1421.5831738730162</v>
      </c>
    </row>
    <row r="174" spans="2:19" hidden="1" outlineLevel="1" x14ac:dyDescent="0.25">
      <c r="B174" s="174" t="s">
        <v>648</v>
      </c>
      <c r="C174" s="175">
        <v>6.8</v>
      </c>
      <c r="D174" s="176">
        <f t="shared" si="21"/>
        <v>1.3802280269967102</v>
      </c>
      <c r="E174" s="177">
        <f t="shared" si="20"/>
        <v>1518.2508296963813</v>
      </c>
    </row>
    <row r="175" spans="2:19" hidden="1" outlineLevel="1" x14ac:dyDescent="0.25">
      <c r="B175" s="174" t="s">
        <v>649</v>
      </c>
      <c r="C175" s="175">
        <v>0.3</v>
      </c>
      <c r="D175" s="221">
        <f t="shared" si="21"/>
        <v>1.3843687110777001</v>
      </c>
      <c r="E175" s="220">
        <f t="shared" si="20"/>
        <v>1522.80558218547</v>
      </c>
    </row>
    <row r="176" spans="2:19" hidden="1" outlineLevel="1" x14ac:dyDescent="0.25"/>
    <row r="177" spans="2:19" collapsed="1" x14ac:dyDescent="0.25"/>
    <row r="178" spans="2:19" ht="15.75" x14ac:dyDescent="0.25">
      <c r="B178" s="510" t="s">
        <v>425</v>
      </c>
      <c r="C178" s="509"/>
      <c r="D178" s="509"/>
      <c r="E178" s="509"/>
      <c r="F178" s="509"/>
      <c r="G178" s="509"/>
      <c r="H178" s="509"/>
      <c r="I178" s="509"/>
    </row>
    <row r="179" spans="2:19" ht="8.25" customHeight="1" collapsed="1" x14ac:dyDescent="0.25"/>
    <row r="180" spans="2:19" x14ac:dyDescent="0.25">
      <c r="B180" s="514" t="s">
        <v>650</v>
      </c>
    </row>
    <row r="181" spans="2:19" ht="6" hidden="1" customHeight="1" outlineLevel="1" x14ac:dyDescent="0.25"/>
    <row r="182" spans="2:19" hidden="1" outlineLevel="1" x14ac:dyDescent="0.25">
      <c r="B182" s="92" t="s">
        <v>651</v>
      </c>
    </row>
    <row r="183" spans="2:19" hidden="1" outlineLevel="2" x14ac:dyDescent="0.25">
      <c r="B183" s="111"/>
      <c r="C183" s="975" t="s">
        <v>652</v>
      </c>
      <c r="D183" s="976"/>
      <c r="E183" s="973" t="s">
        <v>653</v>
      </c>
      <c r="F183" s="974"/>
      <c r="G183" s="975" t="s">
        <v>654</v>
      </c>
      <c r="H183" s="976"/>
    </row>
    <row r="184" spans="2:19" hidden="1" outlineLevel="2" x14ac:dyDescent="0.25">
      <c r="B184" s="112"/>
      <c r="C184" s="93">
        <v>2007</v>
      </c>
      <c r="D184" s="93">
        <v>2021</v>
      </c>
      <c r="E184" s="93">
        <v>2007</v>
      </c>
      <c r="F184" s="93">
        <v>2021</v>
      </c>
      <c r="G184" s="93">
        <v>2007</v>
      </c>
      <c r="H184" s="93">
        <v>2021</v>
      </c>
      <c r="J184" s="93" t="s">
        <v>655</v>
      </c>
      <c r="K184" s="93" t="s">
        <v>656</v>
      </c>
      <c r="L184" s="93" t="s">
        <v>657</v>
      </c>
      <c r="M184" s="93" t="s">
        <v>658</v>
      </c>
      <c r="P184" s="93"/>
      <c r="Q184" s="93" t="s">
        <v>659</v>
      </c>
      <c r="R184" s="93" t="s">
        <v>660</v>
      </c>
      <c r="S184" s="93" t="s">
        <v>504</v>
      </c>
    </row>
    <row r="185" spans="2:19" hidden="1" outlineLevel="2" x14ac:dyDescent="0.25">
      <c r="B185" s="74" t="s">
        <v>661</v>
      </c>
      <c r="C185" s="96">
        <v>1129</v>
      </c>
      <c r="D185" s="96">
        <v>1129</v>
      </c>
      <c r="E185" s="99">
        <v>0.26550000000000001</v>
      </c>
      <c r="F185" s="99">
        <v>0.24929999999999999</v>
      </c>
      <c r="G185" s="96">
        <v>300</v>
      </c>
      <c r="H185" s="96">
        <v>281</v>
      </c>
      <c r="J185" s="96">
        <f>D185/9.5</f>
        <v>118.84210526315789</v>
      </c>
      <c r="K185" s="98">
        <v>9</v>
      </c>
      <c r="L185" s="96">
        <f>J185/(K185/100)</f>
        <v>1320.46783625731</v>
      </c>
      <c r="M185" s="96">
        <f>L185*1000/$K$190</f>
        <v>66.023391812865498</v>
      </c>
      <c r="P185" s="74" t="s">
        <v>489</v>
      </c>
      <c r="Q185" s="96">
        <f>D185+D186+D195+D206</f>
        <v>1629486</v>
      </c>
      <c r="R185" s="96">
        <f>H185+H186+H195+H206</f>
        <v>406184</v>
      </c>
      <c r="S185" s="99">
        <f>R185/Q185</f>
        <v>0.24927124258815356</v>
      </c>
    </row>
    <row r="186" spans="2:19" hidden="1" outlineLevel="2" x14ac:dyDescent="0.25">
      <c r="B186" s="74" t="s">
        <v>662</v>
      </c>
      <c r="C186" s="96">
        <v>857</v>
      </c>
      <c r="D186" s="96">
        <v>857</v>
      </c>
      <c r="E186" s="99">
        <v>0.26550000000000001</v>
      </c>
      <c r="F186" s="99">
        <v>0.24929999999999999</v>
      </c>
      <c r="G186" s="96">
        <v>228</v>
      </c>
      <c r="H186" s="96">
        <v>214</v>
      </c>
      <c r="J186" s="96">
        <f>D186/9.5</f>
        <v>90.21052631578948</v>
      </c>
      <c r="K186" s="98">
        <v>30</v>
      </c>
      <c r="L186" s="96">
        <f t="shared" ref="L186:L188" si="22">J186/(K186/100)</f>
        <v>300.70175438596493</v>
      </c>
      <c r="M186" s="96">
        <f t="shared" ref="M186:M188" si="23">L186*1000/$K$190</f>
        <v>15.035087719298247</v>
      </c>
      <c r="P186" s="74" t="s">
        <v>490</v>
      </c>
      <c r="Q186" s="96">
        <f>D187+D188+D207</f>
        <v>602201</v>
      </c>
      <c r="R186" s="96">
        <f>H187+H188+H207</f>
        <v>149944</v>
      </c>
      <c r="S186" s="99">
        <f t="shared" ref="S186:S189" si="24">R186/Q186</f>
        <v>0.24899327633132459</v>
      </c>
    </row>
    <row r="187" spans="2:19" hidden="1" outlineLevel="2" x14ac:dyDescent="0.25">
      <c r="B187" s="74" t="s">
        <v>663</v>
      </c>
      <c r="C187" s="96">
        <v>245</v>
      </c>
      <c r="D187" s="96">
        <v>245</v>
      </c>
      <c r="E187" s="99">
        <v>0.25569999999999998</v>
      </c>
      <c r="F187" s="99">
        <v>0.249</v>
      </c>
      <c r="G187" s="96">
        <v>63</v>
      </c>
      <c r="H187" s="96">
        <v>61</v>
      </c>
      <c r="J187" s="96">
        <f>D187/9.5</f>
        <v>25.789473684210527</v>
      </c>
      <c r="K187" s="98">
        <v>10</v>
      </c>
      <c r="L187" s="96">
        <f t="shared" si="22"/>
        <v>257.89473684210526</v>
      </c>
      <c r="M187" s="96">
        <f t="shared" si="23"/>
        <v>12.894736842105262</v>
      </c>
      <c r="P187" s="74" t="s">
        <v>664</v>
      </c>
      <c r="Q187" s="96">
        <f>D208+D209</f>
        <v>48316</v>
      </c>
      <c r="R187" s="96">
        <f>H208+H209</f>
        <v>10601</v>
      </c>
      <c r="S187" s="99">
        <f t="shared" si="24"/>
        <v>0.21940971934762812</v>
      </c>
    </row>
    <row r="188" spans="2:19" hidden="1" outlineLevel="2" x14ac:dyDescent="0.25">
      <c r="B188" s="74" t="s">
        <v>665</v>
      </c>
      <c r="C188" s="96">
        <v>3</v>
      </c>
      <c r="D188" s="96">
        <v>3</v>
      </c>
      <c r="E188" s="99">
        <v>0.25569999999999998</v>
      </c>
      <c r="F188" s="99">
        <v>0.249</v>
      </c>
      <c r="G188" s="96">
        <v>1</v>
      </c>
      <c r="H188" s="96">
        <v>1</v>
      </c>
      <c r="J188" s="96">
        <f>D188/9.5</f>
        <v>0.31578947368421051</v>
      </c>
      <c r="K188" s="98">
        <v>33</v>
      </c>
      <c r="L188" s="96">
        <f t="shared" si="22"/>
        <v>0.95693779904306209</v>
      </c>
      <c r="M188" s="96">
        <f t="shared" si="23"/>
        <v>4.7846889952153103E-2</v>
      </c>
      <c r="P188" s="74" t="s">
        <v>483</v>
      </c>
      <c r="Q188" s="96">
        <f>D198+D199</f>
        <v>16869</v>
      </c>
      <c r="R188" s="96">
        <f>H198+H199</f>
        <v>229</v>
      </c>
      <c r="S188" s="99">
        <f t="shared" si="24"/>
        <v>1.3575197107119569E-2</v>
      </c>
    </row>
    <row r="189" spans="2:19" hidden="1" outlineLevel="2" x14ac:dyDescent="0.25">
      <c r="B189" s="76" t="s">
        <v>520</v>
      </c>
      <c r="C189" s="97">
        <v>2234</v>
      </c>
      <c r="D189" s="97">
        <v>2234</v>
      </c>
      <c r="E189" s="97"/>
      <c r="F189" s="97"/>
      <c r="G189" s="97">
        <v>591</v>
      </c>
      <c r="H189" s="97">
        <v>557</v>
      </c>
      <c r="J189" s="41">
        <f>SUM(J185:J188)</f>
        <v>235.15789473684211</v>
      </c>
      <c r="L189" s="41">
        <f>SUM(L185:L188)</f>
        <v>1880.0212652844232</v>
      </c>
      <c r="M189" s="41">
        <f>SUM(M185:M188)</f>
        <v>94.001063264221159</v>
      </c>
      <c r="P189" s="74" t="s">
        <v>492</v>
      </c>
      <c r="Q189" s="96">
        <f>D197+D210</f>
        <v>19780</v>
      </c>
      <c r="R189" s="96">
        <f>H197+H210</f>
        <v>8</v>
      </c>
      <c r="S189" s="99">
        <f t="shared" si="24"/>
        <v>4.0444893832153691E-4</v>
      </c>
    </row>
    <row r="190" spans="2:19" hidden="1" outlineLevel="2" x14ac:dyDescent="0.25">
      <c r="B190" s="65" t="s">
        <v>666</v>
      </c>
      <c r="J190" s="328" t="s">
        <v>667</v>
      </c>
      <c r="K190" s="96">
        <v>20000</v>
      </c>
      <c r="L190" s="328" t="s">
        <v>656</v>
      </c>
      <c r="M190" s="96">
        <f>J189/(L189/100)</f>
        <v>12.508257171296716</v>
      </c>
    </row>
    <row r="191" spans="2:19" hidden="1" outlineLevel="1" x14ac:dyDescent="0.25"/>
    <row r="192" spans="2:19" hidden="1" outlineLevel="1" x14ac:dyDescent="0.25">
      <c r="B192" s="92" t="s">
        <v>466</v>
      </c>
    </row>
    <row r="193" spans="2:17" hidden="1" outlineLevel="2" x14ac:dyDescent="0.25">
      <c r="B193" s="111"/>
      <c r="C193" s="975" t="s">
        <v>652</v>
      </c>
      <c r="D193" s="976"/>
      <c r="E193" s="986" t="s">
        <v>668</v>
      </c>
      <c r="F193" s="987"/>
      <c r="G193" s="975" t="s">
        <v>654</v>
      </c>
      <c r="H193" s="976"/>
    </row>
    <row r="194" spans="2:17" hidden="1" outlineLevel="2" x14ac:dyDescent="0.25">
      <c r="B194" s="112"/>
      <c r="C194" s="93">
        <v>2007</v>
      </c>
      <c r="D194" s="93">
        <v>2021</v>
      </c>
      <c r="E194" s="93">
        <v>2007</v>
      </c>
      <c r="F194" s="93">
        <v>2021</v>
      </c>
      <c r="G194" s="93">
        <v>2007</v>
      </c>
      <c r="H194" s="93">
        <v>2021</v>
      </c>
    </row>
    <row r="195" spans="2:17" hidden="1" outlineLevel="2" x14ac:dyDescent="0.25">
      <c r="B195" s="74" t="s">
        <v>489</v>
      </c>
      <c r="C195" s="96">
        <v>101653</v>
      </c>
      <c r="D195" s="96">
        <v>83288</v>
      </c>
      <c r="E195" s="104">
        <v>0.26550000000000001</v>
      </c>
      <c r="F195" s="99">
        <v>0.24929999999999999</v>
      </c>
      <c r="G195" s="96">
        <v>26993</v>
      </c>
      <c r="H195" s="96">
        <v>20761</v>
      </c>
      <c r="I195" s="402"/>
    </row>
    <row r="196" spans="2:17" hidden="1" outlineLevel="2" x14ac:dyDescent="0.25">
      <c r="B196" s="74" t="s">
        <v>484</v>
      </c>
      <c r="C196" s="96"/>
      <c r="D196" s="96">
        <v>65081</v>
      </c>
      <c r="E196" s="104"/>
      <c r="F196" s="99">
        <v>0.19919999999999999</v>
      </c>
      <c r="G196" s="96"/>
      <c r="H196" s="96">
        <v>12964</v>
      </c>
      <c r="I196" s="402"/>
    </row>
    <row r="197" spans="2:17" hidden="1" outlineLevel="2" x14ac:dyDescent="0.25">
      <c r="B197" s="74" t="s">
        <v>492</v>
      </c>
      <c r="C197" s="96"/>
      <c r="D197" s="96">
        <v>18143</v>
      </c>
      <c r="E197" s="104"/>
      <c r="F197" s="99">
        <v>4.0000000000000002E-4</v>
      </c>
      <c r="G197" s="96"/>
      <c r="H197" s="96">
        <v>7</v>
      </c>
    </row>
    <row r="198" spans="2:17" hidden="1" outlineLevel="2" x14ac:dyDescent="0.25">
      <c r="B198" s="74" t="s">
        <v>669</v>
      </c>
      <c r="C198" s="96">
        <v>12229</v>
      </c>
      <c r="D198" s="96">
        <v>5079</v>
      </c>
      <c r="E198" s="104">
        <v>0.97399999999999998</v>
      </c>
      <c r="F198" s="99">
        <v>1.3599999999999999E-2</v>
      </c>
      <c r="G198" s="96">
        <v>11911</v>
      </c>
      <c r="H198" s="96">
        <v>69</v>
      </c>
    </row>
    <row r="199" spans="2:17" hidden="1" outlineLevel="2" x14ac:dyDescent="0.25">
      <c r="B199" s="74" t="s">
        <v>670</v>
      </c>
      <c r="C199" s="96">
        <v>13251</v>
      </c>
      <c r="D199" s="96">
        <v>11790</v>
      </c>
      <c r="E199" s="96">
        <v>0.97399999999999998</v>
      </c>
      <c r="F199" s="99">
        <v>1.3599999999999999E-2</v>
      </c>
      <c r="G199" s="96">
        <v>12907</v>
      </c>
      <c r="H199" s="96">
        <v>160</v>
      </c>
    </row>
    <row r="200" spans="2:17" hidden="1" outlineLevel="2" x14ac:dyDescent="0.25">
      <c r="B200" s="74" t="s">
        <v>520</v>
      </c>
      <c r="C200" s="97">
        <v>127133</v>
      </c>
      <c r="D200" s="97">
        <v>183381</v>
      </c>
      <c r="E200" s="97" t="s">
        <v>519</v>
      </c>
      <c r="F200" s="97"/>
      <c r="G200" s="97">
        <v>51811</v>
      </c>
      <c r="H200" s="97">
        <v>33962</v>
      </c>
    </row>
    <row r="201" spans="2:17" hidden="1" outlineLevel="2" x14ac:dyDescent="0.25">
      <c r="B201" s="65" t="s">
        <v>671</v>
      </c>
    </row>
    <row r="202" spans="2:17" hidden="1" outlineLevel="1" x14ac:dyDescent="0.25"/>
    <row r="203" spans="2:17" hidden="1" outlineLevel="1" x14ac:dyDescent="0.25">
      <c r="B203" s="92" t="s">
        <v>672</v>
      </c>
    </row>
    <row r="204" spans="2:17" hidden="1" outlineLevel="2" x14ac:dyDescent="0.25">
      <c r="B204" s="111"/>
      <c r="C204" s="975" t="s">
        <v>652</v>
      </c>
      <c r="D204" s="976"/>
      <c r="E204" s="973" t="s">
        <v>653</v>
      </c>
      <c r="F204" s="974"/>
      <c r="G204" s="975" t="s">
        <v>654</v>
      </c>
      <c r="H204" s="976"/>
    </row>
    <row r="205" spans="2:17" hidden="1" outlineLevel="2" x14ac:dyDescent="0.25">
      <c r="B205" s="112"/>
      <c r="C205" s="93">
        <v>2007</v>
      </c>
      <c r="D205" s="93">
        <v>2021</v>
      </c>
      <c r="E205" s="93">
        <v>2007</v>
      </c>
      <c r="F205" s="93">
        <v>2021</v>
      </c>
      <c r="G205" s="93">
        <v>2007</v>
      </c>
      <c r="H205" s="93">
        <v>2021</v>
      </c>
    </row>
    <row r="206" spans="2:17" hidden="1" outlineLevel="2" x14ac:dyDescent="0.25">
      <c r="B206" s="74" t="s">
        <v>489</v>
      </c>
      <c r="C206" s="96">
        <v>860383</v>
      </c>
      <c r="D206" s="96">
        <v>1544212</v>
      </c>
      <c r="E206" s="104">
        <v>0.26550000000000001</v>
      </c>
      <c r="F206" s="99">
        <v>0.24929999999999999</v>
      </c>
      <c r="G206" s="96">
        <v>228466</v>
      </c>
      <c r="H206" s="96">
        <v>384928</v>
      </c>
      <c r="I206" s="408"/>
      <c r="J206" s="408"/>
      <c r="K206" s="107"/>
      <c r="L206" s="107"/>
      <c r="M206" s="107"/>
      <c r="N206" s="108"/>
      <c r="O206" s="109"/>
      <c r="P206" s="110"/>
      <c r="Q206" s="109"/>
    </row>
    <row r="207" spans="2:17" hidden="1" outlineLevel="2" x14ac:dyDescent="0.25">
      <c r="B207" s="74" t="s">
        <v>490</v>
      </c>
      <c r="C207" s="96">
        <v>782051</v>
      </c>
      <c r="D207" s="96">
        <v>601953</v>
      </c>
      <c r="E207" s="104">
        <v>0.25569999999999998</v>
      </c>
      <c r="F207" s="99">
        <v>0.249</v>
      </c>
      <c r="G207" s="96">
        <v>200009</v>
      </c>
      <c r="H207" s="96">
        <v>149882</v>
      </c>
      <c r="I207" s="408"/>
      <c r="J207" s="408"/>
      <c r="K207" s="107"/>
      <c r="L207" s="107"/>
      <c r="M207" s="107"/>
      <c r="N207" s="108"/>
      <c r="O207" s="108"/>
      <c r="P207" s="108"/>
      <c r="Q207" s="108"/>
    </row>
    <row r="208" spans="2:17" hidden="1" outlineLevel="2" x14ac:dyDescent="0.25">
      <c r="B208" s="74" t="s">
        <v>539</v>
      </c>
      <c r="C208" s="96">
        <v>3947</v>
      </c>
      <c r="D208" s="96">
        <v>31945</v>
      </c>
      <c r="E208" s="104">
        <v>0.2339</v>
      </c>
      <c r="F208" s="99">
        <v>0.2298</v>
      </c>
      <c r="G208" s="96">
        <v>923</v>
      </c>
      <c r="H208" s="96">
        <v>7340</v>
      </c>
      <c r="O208" s="108"/>
      <c r="P208" s="108"/>
      <c r="Q208" s="108"/>
    </row>
    <row r="209" spans="2:49" hidden="1" outlineLevel="2" x14ac:dyDescent="0.25">
      <c r="B209" s="74" t="s">
        <v>484</v>
      </c>
      <c r="C209" s="96"/>
      <c r="D209" s="96">
        <v>16371</v>
      </c>
      <c r="E209" s="104"/>
      <c r="F209" s="99">
        <v>0.19919999999999999</v>
      </c>
      <c r="G209" s="96"/>
      <c r="H209" s="96">
        <v>3261</v>
      </c>
      <c r="O209" s="108"/>
      <c r="P209" s="108"/>
      <c r="Q209" s="108"/>
    </row>
    <row r="210" spans="2:49" hidden="1" outlineLevel="2" x14ac:dyDescent="0.25">
      <c r="B210" s="74" t="s">
        <v>492</v>
      </c>
      <c r="C210" s="96"/>
      <c r="D210" s="96">
        <v>1637</v>
      </c>
      <c r="E210" s="104"/>
      <c r="F210" s="99">
        <v>4.0000000000000002E-4</v>
      </c>
      <c r="G210" s="96"/>
      <c r="H210" s="96">
        <v>1</v>
      </c>
      <c r="O210" s="108"/>
      <c r="P210" s="108"/>
      <c r="Q210" s="108"/>
    </row>
    <row r="211" spans="2:49" hidden="1" outlineLevel="2" x14ac:dyDescent="0.25">
      <c r="B211" s="76" t="s">
        <v>520</v>
      </c>
      <c r="C211" s="97">
        <v>1646381</v>
      </c>
      <c r="D211" s="97">
        <v>2196118</v>
      </c>
      <c r="E211" s="105"/>
      <c r="F211" s="106" t="s">
        <v>519</v>
      </c>
      <c r="G211" s="97">
        <v>429399</v>
      </c>
      <c r="H211" s="97">
        <v>545411</v>
      </c>
      <c r="O211" s="108"/>
      <c r="P211" s="108"/>
      <c r="Q211" s="108"/>
    </row>
    <row r="212" spans="2:49" hidden="1" outlineLevel="2" x14ac:dyDescent="0.25">
      <c r="B212" s="65" t="s">
        <v>671</v>
      </c>
      <c r="D212" s="408"/>
      <c r="H212" s="408"/>
    </row>
    <row r="213" spans="2:49" hidden="1" outlineLevel="1" x14ac:dyDescent="0.25">
      <c r="G213" s="403"/>
      <c r="H213" s="403"/>
    </row>
    <row r="214" spans="2:49" collapsed="1" x14ac:dyDescent="0.25"/>
    <row r="215" spans="2:49" x14ac:dyDescent="0.25">
      <c r="B215" s="514" t="s">
        <v>673</v>
      </c>
      <c r="C215" s="514"/>
    </row>
    <row r="216" spans="2:49" outlineLevel="1" x14ac:dyDescent="0.25"/>
    <row r="217" spans="2:49" outlineLevel="1" x14ac:dyDescent="0.25">
      <c r="B217" s="599"/>
      <c r="C217" s="602" t="s">
        <v>674</v>
      </c>
      <c r="D217" s="603" t="s">
        <v>675</v>
      </c>
    </row>
    <row r="218" spans="2:49" outlineLevel="1" x14ac:dyDescent="0.25">
      <c r="B218" s="588" t="s">
        <v>676</v>
      </c>
      <c r="C218" s="589" t="s">
        <v>677</v>
      </c>
      <c r="D218" s="590" t="s">
        <v>678</v>
      </c>
    </row>
    <row r="219" spans="2:49" outlineLevel="1" x14ac:dyDescent="0.25">
      <c r="B219" s="591" t="s">
        <v>679</v>
      </c>
      <c r="C219" s="592" t="s">
        <v>680</v>
      </c>
      <c r="D219" s="593" t="s">
        <v>681</v>
      </c>
    </row>
    <row r="220" spans="2:49" outlineLevel="1" x14ac:dyDescent="0.25">
      <c r="B220" s="588" t="s">
        <v>682</v>
      </c>
      <c r="C220" s="589" t="s">
        <v>681</v>
      </c>
      <c r="D220" s="590" t="s">
        <v>681</v>
      </c>
    </row>
    <row r="221" spans="2:49" outlineLevel="1" x14ac:dyDescent="0.25">
      <c r="B221" s="591" t="s">
        <v>683</v>
      </c>
      <c r="C221" s="592" t="s">
        <v>684</v>
      </c>
      <c r="D221" s="593" t="s">
        <v>685</v>
      </c>
    </row>
    <row r="222" spans="2:49" outlineLevel="1" x14ac:dyDescent="0.25">
      <c r="C222" s="66" t="s">
        <v>686</v>
      </c>
    </row>
    <row r="223" spans="2:49" outlineLevel="1" x14ac:dyDescent="0.25">
      <c r="B223" s="39" t="s">
        <v>687</v>
      </c>
    </row>
    <row r="224" spans="2:49" outlineLevel="1" x14ac:dyDescent="0.25">
      <c r="B224" s="599"/>
      <c r="C224" s="600">
        <v>2024</v>
      </c>
      <c r="D224" s="600">
        <v>2025</v>
      </c>
      <c r="E224" s="600">
        <v>2026</v>
      </c>
      <c r="F224" s="600">
        <v>2027</v>
      </c>
      <c r="G224" s="600">
        <v>2028</v>
      </c>
      <c r="H224" s="600">
        <v>2029</v>
      </c>
      <c r="I224" s="600">
        <v>2030</v>
      </c>
      <c r="J224" s="600">
        <v>2031</v>
      </c>
      <c r="K224" s="600">
        <v>2032</v>
      </c>
      <c r="L224" s="600">
        <v>2033</v>
      </c>
      <c r="M224" s="600">
        <v>2034</v>
      </c>
      <c r="N224" s="600">
        <v>2035</v>
      </c>
      <c r="O224" s="600">
        <v>2036</v>
      </c>
      <c r="P224" s="600">
        <v>2037</v>
      </c>
      <c r="Q224" s="600">
        <v>2038</v>
      </c>
      <c r="R224" s="600">
        <v>2039</v>
      </c>
      <c r="S224" s="600">
        <v>2040</v>
      </c>
      <c r="T224" s="600">
        <v>2041</v>
      </c>
      <c r="U224" s="600">
        <v>2042</v>
      </c>
      <c r="V224" s="600">
        <v>2043</v>
      </c>
      <c r="W224" s="600">
        <v>2044</v>
      </c>
      <c r="X224" s="600">
        <v>2045</v>
      </c>
      <c r="Y224" s="600">
        <v>2046</v>
      </c>
      <c r="Z224" s="600">
        <v>2047</v>
      </c>
      <c r="AA224" s="600">
        <v>2048</v>
      </c>
      <c r="AB224" s="600">
        <v>2049</v>
      </c>
      <c r="AC224" s="600">
        <v>2050</v>
      </c>
      <c r="AD224" s="600">
        <v>2051</v>
      </c>
      <c r="AE224" s="600">
        <v>2052</v>
      </c>
      <c r="AF224" s="600">
        <v>2053</v>
      </c>
      <c r="AG224" s="600">
        <v>2054</v>
      </c>
      <c r="AH224" s="600">
        <v>2055</v>
      </c>
      <c r="AI224" s="600">
        <v>2056</v>
      </c>
      <c r="AJ224" s="600">
        <v>2057</v>
      </c>
      <c r="AK224" s="600">
        <v>2058</v>
      </c>
      <c r="AL224" s="600">
        <v>2059</v>
      </c>
      <c r="AM224" s="600">
        <v>2060</v>
      </c>
      <c r="AN224" s="600">
        <v>2061</v>
      </c>
      <c r="AO224" s="600">
        <v>2062</v>
      </c>
      <c r="AP224" s="600">
        <v>2063</v>
      </c>
      <c r="AQ224" s="600">
        <v>2064</v>
      </c>
      <c r="AR224" s="600">
        <v>2065</v>
      </c>
      <c r="AS224" s="600">
        <v>2066</v>
      </c>
      <c r="AT224" s="600">
        <v>2067</v>
      </c>
      <c r="AU224" s="600">
        <v>2068</v>
      </c>
      <c r="AV224" s="600">
        <v>2069</v>
      </c>
      <c r="AW224" s="601">
        <v>2070</v>
      </c>
    </row>
    <row r="225" spans="2:50" outlineLevel="1" x14ac:dyDescent="0.25">
      <c r="B225" s="588" t="s">
        <v>676</v>
      </c>
      <c r="C225" s="594">
        <f>C233/$C$237</f>
        <v>0.84655609976884405</v>
      </c>
      <c r="D225" s="595">
        <f t="shared" ref="D225:M225" si="25">C225+($N225-$C225)/11</f>
        <v>0.79232372706258547</v>
      </c>
      <c r="E225" s="595">
        <f t="shared" si="25"/>
        <v>0.73809135435632689</v>
      </c>
      <c r="F225" s="595">
        <f t="shared" si="25"/>
        <v>0.68385898165006831</v>
      </c>
      <c r="G225" s="595">
        <f t="shared" si="25"/>
        <v>0.62962660894380973</v>
      </c>
      <c r="H225" s="595">
        <f t="shared" si="25"/>
        <v>0.57539423623755115</v>
      </c>
      <c r="I225" s="595">
        <f t="shared" si="25"/>
        <v>0.52116186353129257</v>
      </c>
      <c r="J225" s="595">
        <f t="shared" si="25"/>
        <v>0.46692949082503399</v>
      </c>
      <c r="K225" s="595">
        <f t="shared" si="25"/>
        <v>0.41269711811877541</v>
      </c>
      <c r="L225" s="595">
        <f t="shared" si="25"/>
        <v>0.35846474541251683</v>
      </c>
      <c r="M225" s="595">
        <f t="shared" si="25"/>
        <v>0.30423237270625825</v>
      </c>
      <c r="N225" s="594">
        <f>1-N227-N228-N226</f>
        <v>0.24999999999999989</v>
      </c>
      <c r="O225" s="595">
        <f t="shared" ref="O225:AB225" si="26">N225+($AC225-$N225)/15</f>
        <v>0.23999999999999988</v>
      </c>
      <c r="P225" s="595">
        <f t="shared" si="26"/>
        <v>0.22999999999999987</v>
      </c>
      <c r="Q225" s="595">
        <f t="shared" si="26"/>
        <v>0.21999999999999986</v>
      </c>
      <c r="R225" s="595">
        <f t="shared" si="26"/>
        <v>0.20999999999999985</v>
      </c>
      <c r="S225" s="595">
        <f t="shared" si="26"/>
        <v>0.19999999999999984</v>
      </c>
      <c r="T225" s="595">
        <f t="shared" si="26"/>
        <v>0.18999999999999984</v>
      </c>
      <c r="U225" s="595">
        <f t="shared" si="26"/>
        <v>0.17999999999999983</v>
      </c>
      <c r="V225" s="595">
        <f t="shared" si="26"/>
        <v>0.16999999999999982</v>
      </c>
      <c r="W225" s="595">
        <f t="shared" si="26"/>
        <v>0.15999999999999981</v>
      </c>
      <c r="X225" s="595">
        <f t="shared" si="26"/>
        <v>0.1499999999999998</v>
      </c>
      <c r="Y225" s="595">
        <f t="shared" si="26"/>
        <v>0.13999999999999979</v>
      </c>
      <c r="Z225" s="595">
        <f t="shared" si="26"/>
        <v>0.12999999999999978</v>
      </c>
      <c r="AA225" s="595">
        <f t="shared" si="26"/>
        <v>0.11999999999999977</v>
      </c>
      <c r="AB225" s="595">
        <f t="shared" si="26"/>
        <v>0.10999999999999976</v>
      </c>
      <c r="AC225" s="594">
        <f>1-AC227-AC228-AC226</f>
        <v>9.9999999999999867E-2</v>
      </c>
      <c r="AD225" s="595">
        <f t="shared" ref="AD225:AV225" si="27">AC225+($AW225-$AC225)/20</f>
        <v>9.4999999999999876E-2</v>
      </c>
      <c r="AE225" s="595">
        <f t="shared" si="27"/>
        <v>8.9999999999999886E-2</v>
      </c>
      <c r="AF225" s="595">
        <f t="shared" si="27"/>
        <v>8.4999999999999895E-2</v>
      </c>
      <c r="AG225" s="595">
        <f t="shared" si="27"/>
        <v>7.9999999999999905E-2</v>
      </c>
      <c r="AH225" s="595">
        <f t="shared" si="27"/>
        <v>7.4999999999999914E-2</v>
      </c>
      <c r="AI225" s="595">
        <f t="shared" si="27"/>
        <v>6.9999999999999923E-2</v>
      </c>
      <c r="AJ225" s="595">
        <f t="shared" si="27"/>
        <v>6.4999999999999933E-2</v>
      </c>
      <c r="AK225" s="595">
        <f t="shared" si="27"/>
        <v>5.9999999999999942E-2</v>
      </c>
      <c r="AL225" s="595">
        <f t="shared" si="27"/>
        <v>5.4999999999999952E-2</v>
      </c>
      <c r="AM225" s="595">
        <f t="shared" si="27"/>
        <v>4.9999999999999961E-2</v>
      </c>
      <c r="AN225" s="595">
        <f t="shared" si="27"/>
        <v>4.4999999999999971E-2</v>
      </c>
      <c r="AO225" s="595">
        <f t="shared" si="27"/>
        <v>3.999999999999998E-2</v>
      </c>
      <c r="AP225" s="595">
        <f t="shared" si="27"/>
        <v>3.4999999999999989E-2</v>
      </c>
      <c r="AQ225" s="595">
        <f t="shared" si="27"/>
        <v>2.9999999999999995E-2</v>
      </c>
      <c r="AR225" s="595">
        <f t="shared" si="27"/>
        <v>2.5000000000000001E-2</v>
      </c>
      <c r="AS225" s="595">
        <f t="shared" si="27"/>
        <v>2.0000000000000007E-2</v>
      </c>
      <c r="AT225" s="595">
        <f t="shared" si="27"/>
        <v>1.5000000000000013E-2</v>
      </c>
      <c r="AU225" s="595">
        <f t="shared" si="27"/>
        <v>1.0000000000000019E-2</v>
      </c>
      <c r="AV225" s="595">
        <f t="shared" si="27"/>
        <v>5.0000000000000261E-3</v>
      </c>
      <c r="AW225" s="596">
        <v>0</v>
      </c>
    </row>
    <row r="226" spans="2:50" outlineLevel="1" x14ac:dyDescent="0.25">
      <c r="B226" s="591" t="s">
        <v>679</v>
      </c>
      <c r="C226" s="598">
        <f>C236/$C$237</f>
        <v>1.483924154987634E-2</v>
      </c>
      <c r="D226" s="598">
        <f t="shared" ref="D226:M226" si="28">C226+($N226-$C226)/11</f>
        <v>6.3490219590796676E-2</v>
      </c>
      <c r="E226" s="598">
        <f t="shared" si="28"/>
        <v>0.11214119763171701</v>
      </c>
      <c r="F226" s="598">
        <f t="shared" si="28"/>
        <v>0.16079217567263734</v>
      </c>
      <c r="G226" s="598">
        <f t="shared" si="28"/>
        <v>0.20944315371355768</v>
      </c>
      <c r="H226" s="598">
        <f t="shared" si="28"/>
        <v>0.25809413175447804</v>
      </c>
      <c r="I226" s="598">
        <f t="shared" si="28"/>
        <v>0.30674510979539837</v>
      </c>
      <c r="J226" s="598">
        <f t="shared" si="28"/>
        <v>0.35539608783631871</v>
      </c>
      <c r="K226" s="598">
        <f t="shared" si="28"/>
        <v>0.40404706587723904</v>
      </c>
      <c r="L226" s="598">
        <f t="shared" si="28"/>
        <v>0.45269804391815938</v>
      </c>
      <c r="M226" s="598">
        <f t="shared" si="28"/>
        <v>0.50134902195907971</v>
      </c>
      <c r="N226" s="597">
        <v>0.55000000000000004</v>
      </c>
      <c r="O226" s="598">
        <f t="shared" ref="O226:AB226" si="29">N226+($AC226-$N226)/15</f>
        <v>0.56666666666666676</v>
      </c>
      <c r="P226" s="598">
        <f t="shared" si="29"/>
        <v>0.58333333333333348</v>
      </c>
      <c r="Q226" s="598">
        <f t="shared" si="29"/>
        <v>0.6000000000000002</v>
      </c>
      <c r="R226" s="598">
        <f t="shared" si="29"/>
        <v>0.61666666666666692</v>
      </c>
      <c r="S226" s="598">
        <f t="shared" si="29"/>
        <v>0.63333333333333364</v>
      </c>
      <c r="T226" s="598">
        <f t="shared" si="29"/>
        <v>0.65000000000000036</v>
      </c>
      <c r="U226" s="598">
        <f t="shared" si="29"/>
        <v>0.66666666666666707</v>
      </c>
      <c r="V226" s="598">
        <f t="shared" si="29"/>
        <v>0.68333333333333379</v>
      </c>
      <c r="W226" s="598">
        <f t="shared" si="29"/>
        <v>0.70000000000000051</v>
      </c>
      <c r="X226" s="598">
        <f t="shared" si="29"/>
        <v>0.71666666666666723</v>
      </c>
      <c r="Y226" s="598">
        <f t="shared" si="29"/>
        <v>0.73333333333333395</v>
      </c>
      <c r="Z226" s="598">
        <f t="shared" si="29"/>
        <v>0.75000000000000067</v>
      </c>
      <c r="AA226" s="598">
        <f t="shared" si="29"/>
        <v>0.76666666666666738</v>
      </c>
      <c r="AB226" s="598">
        <f t="shared" si="29"/>
        <v>0.7833333333333341</v>
      </c>
      <c r="AC226" s="597">
        <v>0.8</v>
      </c>
      <c r="AD226" s="598">
        <f t="shared" ref="AD226:AV226" si="30">AC226+($AW226-$AC226)/20</f>
        <v>0.81</v>
      </c>
      <c r="AE226" s="598">
        <f t="shared" si="30"/>
        <v>0.82000000000000006</v>
      </c>
      <c r="AF226" s="598">
        <f t="shared" si="30"/>
        <v>0.83000000000000007</v>
      </c>
      <c r="AG226" s="598">
        <f t="shared" si="30"/>
        <v>0.84000000000000008</v>
      </c>
      <c r="AH226" s="598">
        <f t="shared" si="30"/>
        <v>0.85000000000000009</v>
      </c>
      <c r="AI226" s="598">
        <f t="shared" si="30"/>
        <v>0.8600000000000001</v>
      </c>
      <c r="AJ226" s="598">
        <f t="shared" si="30"/>
        <v>0.87000000000000011</v>
      </c>
      <c r="AK226" s="598">
        <f t="shared" si="30"/>
        <v>0.88000000000000012</v>
      </c>
      <c r="AL226" s="598">
        <f t="shared" si="30"/>
        <v>0.89000000000000012</v>
      </c>
      <c r="AM226" s="598">
        <f t="shared" si="30"/>
        <v>0.90000000000000013</v>
      </c>
      <c r="AN226" s="598">
        <f t="shared" si="30"/>
        <v>0.91000000000000014</v>
      </c>
      <c r="AO226" s="598">
        <f t="shared" si="30"/>
        <v>0.92000000000000015</v>
      </c>
      <c r="AP226" s="598">
        <f t="shared" si="30"/>
        <v>0.93000000000000016</v>
      </c>
      <c r="AQ226" s="598">
        <f t="shared" si="30"/>
        <v>0.94000000000000017</v>
      </c>
      <c r="AR226" s="598">
        <f t="shared" si="30"/>
        <v>0.95000000000000018</v>
      </c>
      <c r="AS226" s="598">
        <f t="shared" si="30"/>
        <v>0.96000000000000019</v>
      </c>
      <c r="AT226" s="598">
        <f t="shared" si="30"/>
        <v>0.9700000000000002</v>
      </c>
      <c r="AU226" s="598">
        <f t="shared" si="30"/>
        <v>0.9800000000000002</v>
      </c>
      <c r="AV226" s="598">
        <f t="shared" si="30"/>
        <v>0.99000000000000021</v>
      </c>
      <c r="AW226" s="596">
        <v>1</v>
      </c>
    </row>
    <row r="227" spans="2:50" outlineLevel="1" x14ac:dyDescent="0.25">
      <c r="B227" s="588" t="s">
        <v>682</v>
      </c>
      <c r="C227" s="594">
        <f>C234/$C$237</f>
        <v>2.0218062492927923E-2</v>
      </c>
      <c r="D227" s="595">
        <f t="shared" ref="D227:M227" si="31">C227+($N227-$C227)/11</f>
        <v>3.2016420448116291E-2</v>
      </c>
      <c r="E227" s="595">
        <f t="shared" si="31"/>
        <v>4.3814778403304659E-2</v>
      </c>
      <c r="F227" s="595">
        <f t="shared" si="31"/>
        <v>5.5613136358493027E-2</v>
      </c>
      <c r="G227" s="595">
        <f t="shared" si="31"/>
        <v>6.7411494313681403E-2</v>
      </c>
      <c r="H227" s="595">
        <f t="shared" si="31"/>
        <v>7.9209852268869771E-2</v>
      </c>
      <c r="I227" s="595">
        <f t="shared" si="31"/>
        <v>9.1008210224058139E-2</v>
      </c>
      <c r="J227" s="595">
        <f t="shared" si="31"/>
        <v>0.10280656817924651</v>
      </c>
      <c r="K227" s="595">
        <f t="shared" si="31"/>
        <v>0.11460492613443488</v>
      </c>
      <c r="L227" s="595">
        <f t="shared" si="31"/>
        <v>0.12640328408962326</v>
      </c>
      <c r="M227" s="595">
        <f t="shared" si="31"/>
        <v>0.13820164204481164</v>
      </c>
      <c r="N227" s="597">
        <v>0.15</v>
      </c>
      <c r="O227" s="595">
        <f t="shared" ref="O227:AB227" si="32">N227+($AC227-$N227)/15</f>
        <v>0.14333333333333334</v>
      </c>
      <c r="P227" s="595">
        <f t="shared" si="32"/>
        <v>0.13666666666666669</v>
      </c>
      <c r="Q227" s="595">
        <f t="shared" si="32"/>
        <v>0.13000000000000003</v>
      </c>
      <c r="R227" s="595">
        <f t="shared" si="32"/>
        <v>0.12333333333333336</v>
      </c>
      <c r="S227" s="595">
        <f t="shared" si="32"/>
        <v>0.1166666666666667</v>
      </c>
      <c r="T227" s="595">
        <f t="shared" si="32"/>
        <v>0.11000000000000003</v>
      </c>
      <c r="U227" s="595">
        <f t="shared" si="32"/>
        <v>0.10333333333333336</v>
      </c>
      <c r="V227" s="595">
        <f t="shared" si="32"/>
        <v>9.6666666666666692E-2</v>
      </c>
      <c r="W227" s="595">
        <f t="shared" si="32"/>
        <v>9.0000000000000024E-2</v>
      </c>
      <c r="X227" s="595">
        <f t="shared" si="32"/>
        <v>8.3333333333333356E-2</v>
      </c>
      <c r="Y227" s="595">
        <f t="shared" si="32"/>
        <v>7.6666666666666689E-2</v>
      </c>
      <c r="Z227" s="595">
        <f t="shared" si="32"/>
        <v>7.0000000000000021E-2</v>
      </c>
      <c r="AA227" s="595">
        <f t="shared" si="32"/>
        <v>6.3333333333333353E-2</v>
      </c>
      <c r="AB227" s="595">
        <f t="shared" si="32"/>
        <v>5.6666666666666685E-2</v>
      </c>
      <c r="AC227" s="597">
        <v>0.05</v>
      </c>
      <c r="AD227" s="595">
        <f t="shared" ref="AD227:AV227" si="33">AC227+($AW227-$AC227)/20</f>
        <v>4.7500000000000001E-2</v>
      </c>
      <c r="AE227" s="595">
        <f t="shared" si="33"/>
        <v>4.4999999999999998E-2</v>
      </c>
      <c r="AF227" s="595">
        <f t="shared" si="33"/>
        <v>4.2499999999999996E-2</v>
      </c>
      <c r="AG227" s="595">
        <f t="shared" si="33"/>
        <v>3.9999999999999994E-2</v>
      </c>
      <c r="AH227" s="595">
        <f t="shared" si="33"/>
        <v>3.7499999999999992E-2</v>
      </c>
      <c r="AI227" s="595">
        <f t="shared" si="33"/>
        <v>3.4999999999999989E-2</v>
      </c>
      <c r="AJ227" s="595">
        <f t="shared" si="33"/>
        <v>3.2499999999999987E-2</v>
      </c>
      <c r="AK227" s="595">
        <f t="shared" si="33"/>
        <v>2.9999999999999988E-2</v>
      </c>
      <c r="AL227" s="595">
        <f t="shared" si="33"/>
        <v>2.749999999999999E-2</v>
      </c>
      <c r="AM227" s="595">
        <f t="shared" si="33"/>
        <v>2.4999999999999991E-2</v>
      </c>
      <c r="AN227" s="595">
        <f t="shared" si="33"/>
        <v>2.2499999999999992E-2</v>
      </c>
      <c r="AO227" s="595">
        <f t="shared" si="33"/>
        <v>1.9999999999999993E-2</v>
      </c>
      <c r="AP227" s="595">
        <f t="shared" si="33"/>
        <v>1.7499999999999995E-2</v>
      </c>
      <c r="AQ227" s="595">
        <f t="shared" si="33"/>
        <v>1.4999999999999994E-2</v>
      </c>
      <c r="AR227" s="595">
        <f t="shared" si="33"/>
        <v>1.2499999999999994E-2</v>
      </c>
      <c r="AS227" s="595">
        <f t="shared" si="33"/>
        <v>9.9999999999999933E-3</v>
      </c>
      <c r="AT227" s="595">
        <f t="shared" si="33"/>
        <v>7.4999999999999928E-3</v>
      </c>
      <c r="AU227" s="595">
        <f t="shared" si="33"/>
        <v>4.9999999999999923E-3</v>
      </c>
      <c r="AV227" s="595">
        <f t="shared" si="33"/>
        <v>2.4999999999999922E-3</v>
      </c>
      <c r="AW227" s="596">
        <v>0</v>
      </c>
    </row>
    <row r="228" spans="2:50" outlineLevel="1" x14ac:dyDescent="0.25">
      <c r="B228" s="591" t="s">
        <v>683</v>
      </c>
      <c r="C228" s="598">
        <f>C235/$C$237</f>
        <v>0.11838659618835168</v>
      </c>
      <c r="D228" s="598">
        <f t="shared" ref="D228:M228" si="34">C228+($N228-$C228)/11</f>
        <v>0.11216963289850153</v>
      </c>
      <c r="E228" s="598">
        <f t="shared" si="34"/>
        <v>0.10595266960865138</v>
      </c>
      <c r="F228" s="598">
        <f t="shared" si="34"/>
        <v>9.9735706318801229E-2</v>
      </c>
      <c r="G228" s="598">
        <f t="shared" si="34"/>
        <v>9.3518743028951079E-2</v>
      </c>
      <c r="H228" s="598">
        <f t="shared" si="34"/>
        <v>8.7301779739100929E-2</v>
      </c>
      <c r="I228" s="598">
        <f t="shared" si="34"/>
        <v>8.1084816449250779E-2</v>
      </c>
      <c r="J228" s="598">
        <f t="shared" si="34"/>
        <v>7.486785315940063E-2</v>
      </c>
      <c r="K228" s="598">
        <f t="shared" si="34"/>
        <v>6.865088986955048E-2</v>
      </c>
      <c r="L228" s="598">
        <f t="shared" si="34"/>
        <v>6.243392657970033E-2</v>
      </c>
      <c r="M228" s="598">
        <f t="shared" si="34"/>
        <v>5.621696328985018E-2</v>
      </c>
      <c r="N228" s="597">
        <v>0.05</v>
      </c>
      <c r="O228" s="598">
        <f t="shared" ref="O228:AB228" si="35">N228+($AC228-$N228)/15</f>
        <v>0.05</v>
      </c>
      <c r="P228" s="598">
        <f t="shared" si="35"/>
        <v>0.05</v>
      </c>
      <c r="Q228" s="598">
        <f t="shared" si="35"/>
        <v>0.05</v>
      </c>
      <c r="R228" s="598">
        <f t="shared" si="35"/>
        <v>0.05</v>
      </c>
      <c r="S228" s="598">
        <f t="shared" si="35"/>
        <v>0.05</v>
      </c>
      <c r="T228" s="598">
        <f t="shared" si="35"/>
        <v>0.05</v>
      </c>
      <c r="U228" s="598">
        <f t="shared" si="35"/>
        <v>0.05</v>
      </c>
      <c r="V228" s="598">
        <f t="shared" si="35"/>
        <v>0.05</v>
      </c>
      <c r="W228" s="598">
        <f t="shared" si="35"/>
        <v>0.05</v>
      </c>
      <c r="X228" s="598">
        <f t="shared" si="35"/>
        <v>0.05</v>
      </c>
      <c r="Y228" s="598">
        <f t="shared" si="35"/>
        <v>0.05</v>
      </c>
      <c r="Z228" s="598">
        <f t="shared" si="35"/>
        <v>0.05</v>
      </c>
      <c r="AA228" s="598">
        <f t="shared" si="35"/>
        <v>0.05</v>
      </c>
      <c r="AB228" s="598">
        <f t="shared" si="35"/>
        <v>0.05</v>
      </c>
      <c r="AC228" s="597">
        <v>0.05</v>
      </c>
      <c r="AD228" s="598">
        <f t="shared" ref="AD228:AV228" si="36">AC228+($AW228-$AC228)/20</f>
        <v>4.7500000000000001E-2</v>
      </c>
      <c r="AE228" s="598">
        <f t="shared" si="36"/>
        <v>4.4999999999999998E-2</v>
      </c>
      <c r="AF228" s="598">
        <f t="shared" si="36"/>
        <v>4.2499999999999996E-2</v>
      </c>
      <c r="AG228" s="598">
        <f t="shared" si="36"/>
        <v>3.9999999999999994E-2</v>
      </c>
      <c r="AH228" s="598">
        <f t="shared" si="36"/>
        <v>3.7499999999999992E-2</v>
      </c>
      <c r="AI228" s="598">
        <f t="shared" si="36"/>
        <v>3.4999999999999989E-2</v>
      </c>
      <c r="AJ228" s="598">
        <f t="shared" si="36"/>
        <v>3.2499999999999987E-2</v>
      </c>
      <c r="AK228" s="598">
        <f t="shared" si="36"/>
        <v>2.9999999999999988E-2</v>
      </c>
      <c r="AL228" s="598">
        <f t="shared" si="36"/>
        <v>2.749999999999999E-2</v>
      </c>
      <c r="AM228" s="598">
        <f t="shared" si="36"/>
        <v>2.4999999999999991E-2</v>
      </c>
      <c r="AN228" s="598">
        <f t="shared" si="36"/>
        <v>2.2499999999999992E-2</v>
      </c>
      <c r="AO228" s="598">
        <f t="shared" si="36"/>
        <v>1.9999999999999993E-2</v>
      </c>
      <c r="AP228" s="598">
        <f t="shared" si="36"/>
        <v>1.7499999999999995E-2</v>
      </c>
      <c r="AQ228" s="598">
        <f t="shared" si="36"/>
        <v>1.4999999999999994E-2</v>
      </c>
      <c r="AR228" s="598">
        <f t="shared" si="36"/>
        <v>1.2499999999999994E-2</v>
      </c>
      <c r="AS228" s="598">
        <f t="shared" si="36"/>
        <v>9.9999999999999933E-3</v>
      </c>
      <c r="AT228" s="598">
        <f t="shared" si="36"/>
        <v>7.4999999999999928E-3</v>
      </c>
      <c r="AU228" s="598">
        <f t="shared" si="36"/>
        <v>4.9999999999999923E-3</v>
      </c>
      <c r="AV228" s="595">
        <f t="shared" si="36"/>
        <v>2.4999999999999922E-3</v>
      </c>
      <c r="AW228" s="596">
        <v>0</v>
      </c>
    </row>
    <row r="229" spans="2:50" outlineLevel="1" x14ac:dyDescent="0.25"/>
    <row r="230" spans="2:50" outlineLevel="1" x14ac:dyDescent="0.25">
      <c r="B230" s="39" t="s">
        <v>688</v>
      </c>
    </row>
    <row r="231" spans="2:50" outlineLevel="1" x14ac:dyDescent="0.25">
      <c r="D231" s="39" t="s">
        <v>689</v>
      </c>
      <c r="G231" s="39" t="s">
        <v>690</v>
      </c>
      <c r="I231" s="290">
        <v>0.1</v>
      </c>
    </row>
    <row r="232" spans="2:50" ht="27" outlineLevel="1" x14ac:dyDescent="0.25">
      <c r="B232" s="599"/>
      <c r="C232" s="600" t="s">
        <v>691</v>
      </c>
      <c r="D232" s="600" t="s">
        <v>692</v>
      </c>
      <c r="E232" s="600" t="s">
        <v>693</v>
      </c>
      <c r="F232" s="600" t="s">
        <v>656</v>
      </c>
      <c r="G232" s="600" t="s">
        <v>692</v>
      </c>
      <c r="H232" s="600" t="s">
        <v>693</v>
      </c>
      <c r="I232" s="601" t="s">
        <v>656</v>
      </c>
    </row>
    <row r="233" spans="2:50" outlineLevel="1" x14ac:dyDescent="0.25">
      <c r="B233" s="588" t="s">
        <v>676</v>
      </c>
      <c r="C233" s="589">
        <v>209482</v>
      </c>
      <c r="D233" s="589">
        <v>166.8</v>
      </c>
      <c r="E233" s="604"/>
      <c r="F233" s="604">
        <v>6.7</v>
      </c>
      <c r="G233" s="589">
        <f>D233*(1+$I$231)</f>
        <v>183.48000000000002</v>
      </c>
      <c r="H233" s="604"/>
      <c r="I233" s="605">
        <f t="shared" ref="I233" si="37">F233*(1+$I$231)</f>
        <v>7.370000000000001</v>
      </c>
      <c r="J233" s="291" t="s">
        <v>694</v>
      </c>
    </row>
    <row r="234" spans="2:50" outlineLevel="1" x14ac:dyDescent="0.25">
      <c r="B234" s="591" t="s">
        <v>679</v>
      </c>
      <c r="C234" s="592">
        <v>5003</v>
      </c>
      <c r="D234" s="592">
        <v>0</v>
      </c>
      <c r="E234" s="606">
        <v>18.399999999999999</v>
      </c>
      <c r="F234" s="606"/>
      <c r="G234" s="592">
        <f t="shared" ref="G234:G236" si="38">D234*(1+$I$231)</f>
        <v>0</v>
      </c>
      <c r="H234" s="606">
        <f t="shared" ref="H234:H236" si="39">E234*(1+$I$231)</f>
        <v>20.239999999999998</v>
      </c>
      <c r="I234" s="607"/>
      <c r="J234" s="291" t="s">
        <v>695</v>
      </c>
    </row>
    <row r="235" spans="2:50" outlineLevel="1" x14ac:dyDescent="0.25">
      <c r="B235" s="588" t="s">
        <v>682</v>
      </c>
      <c r="C235" s="589">
        <v>29295</v>
      </c>
      <c r="D235" s="589">
        <v>140.80000000000001</v>
      </c>
      <c r="E235" s="604"/>
      <c r="F235" s="604">
        <v>6</v>
      </c>
      <c r="G235" s="589">
        <f t="shared" si="38"/>
        <v>154.88000000000002</v>
      </c>
      <c r="H235" s="604"/>
      <c r="I235" s="605">
        <f t="shared" ref="I235:I236" si="40">F235*(1+$I$231)</f>
        <v>6.6000000000000005</v>
      </c>
      <c r="J235" s="291" t="s">
        <v>694</v>
      </c>
    </row>
    <row r="236" spans="2:50" outlineLevel="1" x14ac:dyDescent="0.25">
      <c r="B236" s="591" t="s">
        <v>683</v>
      </c>
      <c r="C236" s="592">
        <v>3672</v>
      </c>
      <c r="D236" s="592">
        <v>38.6</v>
      </c>
      <c r="E236" s="606">
        <v>16.399999999999999</v>
      </c>
      <c r="F236" s="606">
        <v>1.7</v>
      </c>
      <c r="G236" s="592">
        <f t="shared" si="38"/>
        <v>42.460000000000008</v>
      </c>
      <c r="H236" s="606">
        <f t="shared" si="39"/>
        <v>18.04</v>
      </c>
      <c r="I236" s="607">
        <f t="shared" si="40"/>
        <v>1.87</v>
      </c>
      <c r="J236" s="291" t="s">
        <v>695</v>
      </c>
    </row>
    <row r="237" spans="2:50" outlineLevel="1" x14ac:dyDescent="0.25">
      <c r="B237" s="608" t="s">
        <v>445</v>
      </c>
      <c r="C237" s="417">
        <f>SUM(C233:C236)</f>
        <v>247452</v>
      </c>
      <c r="D237" s="285"/>
      <c r="E237" s="289"/>
      <c r="F237" s="289"/>
    </row>
    <row r="238" spans="2:50" outlineLevel="1" x14ac:dyDescent="0.25">
      <c r="C238" s="287" t="s">
        <v>696</v>
      </c>
    </row>
    <row r="239" spans="2:50" outlineLevel="1" x14ac:dyDescent="0.25">
      <c r="B239" s="39" t="s">
        <v>697</v>
      </c>
      <c r="C239" s="287"/>
    </row>
    <row r="240" spans="2:50" ht="27" outlineLevel="1" x14ac:dyDescent="0.25">
      <c r="B240" s="610"/>
      <c r="C240" s="446" t="s">
        <v>698</v>
      </c>
      <c r="D240" s="600">
        <v>2024</v>
      </c>
      <c r="E240" s="600">
        <v>2025</v>
      </c>
      <c r="F240" s="600">
        <v>2026</v>
      </c>
      <c r="G240" s="600">
        <v>2027</v>
      </c>
      <c r="H240" s="600">
        <v>2028</v>
      </c>
      <c r="I240" s="600">
        <v>2029</v>
      </c>
      <c r="J240" s="600">
        <v>2030</v>
      </c>
      <c r="K240" s="600">
        <v>2031</v>
      </c>
      <c r="L240" s="600">
        <v>2032</v>
      </c>
      <c r="M240" s="600">
        <v>2033</v>
      </c>
      <c r="N240" s="600">
        <v>2034</v>
      </c>
      <c r="O240" s="600">
        <v>2035</v>
      </c>
      <c r="P240" s="600">
        <v>2036</v>
      </c>
      <c r="Q240" s="600">
        <v>2037</v>
      </c>
      <c r="R240" s="600">
        <v>2038</v>
      </c>
      <c r="S240" s="600">
        <v>2039</v>
      </c>
      <c r="T240" s="600">
        <v>2040</v>
      </c>
      <c r="U240" s="600">
        <v>2041</v>
      </c>
      <c r="V240" s="600">
        <v>2042</v>
      </c>
      <c r="W240" s="600">
        <v>2043</v>
      </c>
      <c r="X240" s="600">
        <v>2044</v>
      </c>
      <c r="Y240" s="600">
        <v>2045</v>
      </c>
      <c r="Z240" s="600">
        <v>2046</v>
      </c>
      <c r="AA240" s="600">
        <v>2047</v>
      </c>
      <c r="AB240" s="600">
        <v>2048</v>
      </c>
      <c r="AC240" s="600">
        <v>2049</v>
      </c>
      <c r="AD240" s="600">
        <v>2050</v>
      </c>
      <c r="AE240" s="600">
        <v>2051</v>
      </c>
      <c r="AF240" s="600">
        <v>2052</v>
      </c>
      <c r="AG240" s="600">
        <v>2053</v>
      </c>
      <c r="AH240" s="600">
        <v>2054</v>
      </c>
      <c r="AI240" s="600">
        <v>2055</v>
      </c>
      <c r="AJ240" s="600">
        <v>2056</v>
      </c>
      <c r="AK240" s="600">
        <v>2057</v>
      </c>
      <c r="AL240" s="600">
        <v>2058</v>
      </c>
      <c r="AM240" s="600">
        <v>2059</v>
      </c>
      <c r="AN240" s="600">
        <v>2060</v>
      </c>
      <c r="AO240" s="600">
        <v>2061</v>
      </c>
      <c r="AP240" s="600">
        <v>2062</v>
      </c>
      <c r="AQ240" s="600">
        <v>2063</v>
      </c>
      <c r="AR240" s="600">
        <v>2064</v>
      </c>
      <c r="AS240" s="600">
        <v>2065</v>
      </c>
      <c r="AT240" s="600">
        <v>2066</v>
      </c>
      <c r="AU240" s="600">
        <v>2067</v>
      </c>
      <c r="AV240" s="600">
        <v>2068</v>
      </c>
      <c r="AW240" s="600">
        <v>2069</v>
      </c>
      <c r="AX240" s="601">
        <v>2070</v>
      </c>
    </row>
    <row r="241" spans="1:50" outlineLevel="1" x14ac:dyDescent="0.25">
      <c r="B241" s="588" t="s">
        <v>699</v>
      </c>
      <c r="C241" s="609">
        <v>-1.2E-2</v>
      </c>
      <c r="D241" s="604">
        <f>I233</f>
        <v>7.370000000000001</v>
      </c>
      <c r="E241" s="604">
        <f t="shared" ref="E241:AD241" si="41">D241*(1+$C241)</f>
        <v>7.2815600000000007</v>
      </c>
      <c r="F241" s="604">
        <f t="shared" si="41"/>
        <v>7.1941812800000005</v>
      </c>
      <c r="G241" s="604">
        <f t="shared" si="41"/>
        <v>7.1078511046400008</v>
      </c>
      <c r="H241" s="604">
        <f t="shared" si="41"/>
        <v>7.0225568913843208</v>
      </c>
      <c r="I241" s="604">
        <f t="shared" si="41"/>
        <v>6.9382862086877086</v>
      </c>
      <c r="J241" s="604">
        <f t="shared" si="41"/>
        <v>6.8550267741834556</v>
      </c>
      <c r="K241" s="604">
        <f t="shared" si="41"/>
        <v>6.7727664528932543</v>
      </c>
      <c r="L241" s="604">
        <f t="shared" si="41"/>
        <v>6.6914932554585356</v>
      </c>
      <c r="M241" s="604">
        <f t="shared" si="41"/>
        <v>6.6111953363930329</v>
      </c>
      <c r="N241" s="604">
        <f t="shared" si="41"/>
        <v>6.5318609923563162</v>
      </c>
      <c r="O241" s="604">
        <f t="shared" si="41"/>
        <v>6.4534786604480407</v>
      </c>
      <c r="P241" s="604">
        <f t="shared" si="41"/>
        <v>6.376036916522664</v>
      </c>
      <c r="Q241" s="604">
        <f t="shared" si="41"/>
        <v>6.299524473524392</v>
      </c>
      <c r="R241" s="604">
        <f t="shared" si="41"/>
        <v>6.2239301798420996</v>
      </c>
      <c r="S241" s="604">
        <f t="shared" si="41"/>
        <v>6.1492430176839941</v>
      </c>
      <c r="T241" s="604">
        <f t="shared" si="41"/>
        <v>6.0754521014717859</v>
      </c>
      <c r="U241" s="604">
        <f t="shared" si="41"/>
        <v>6.0025466762541244</v>
      </c>
      <c r="V241" s="604">
        <f t="shared" si="41"/>
        <v>5.9305161161390751</v>
      </c>
      <c r="W241" s="604">
        <f t="shared" si="41"/>
        <v>5.8593499227454062</v>
      </c>
      <c r="X241" s="604">
        <f t="shared" si="41"/>
        <v>5.7890377236724611</v>
      </c>
      <c r="Y241" s="604">
        <f t="shared" si="41"/>
        <v>5.7195692709883916</v>
      </c>
      <c r="Z241" s="604">
        <f t="shared" si="41"/>
        <v>5.6509344397365311</v>
      </c>
      <c r="AA241" s="604">
        <f t="shared" si="41"/>
        <v>5.5831232264596924</v>
      </c>
      <c r="AB241" s="604">
        <f t="shared" si="41"/>
        <v>5.5161257477421763</v>
      </c>
      <c r="AC241" s="604">
        <f t="shared" si="41"/>
        <v>5.4499322387692706</v>
      </c>
      <c r="AD241" s="604">
        <f t="shared" si="41"/>
        <v>5.3845330519040395</v>
      </c>
      <c r="AE241" s="604">
        <f>AD241</f>
        <v>5.3845330519040395</v>
      </c>
      <c r="AF241" s="604">
        <f t="shared" ref="AF241:AX241" si="42">AE241</f>
        <v>5.3845330519040395</v>
      </c>
      <c r="AG241" s="604">
        <f t="shared" si="42"/>
        <v>5.3845330519040395</v>
      </c>
      <c r="AH241" s="604">
        <f t="shared" si="42"/>
        <v>5.3845330519040395</v>
      </c>
      <c r="AI241" s="604">
        <f t="shared" si="42"/>
        <v>5.3845330519040395</v>
      </c>
      <c r="AJ241" s="604">
        <f t="shared" si="42"/>
        <v>5.3845330519040395</v>
      </c>
      <c r="AK241" s="604">
        <f t="shared" si="42"/>
        <v>5.3845330519040395</v>
      </c>
      <c r="AL241" s="604">
        <f t="shared" si="42"/>
        <v>5.3845330519040395</v>
      </c>
      <c r="AM241" s="604">
        <f t="shared" si="42"/>
        <v>5.3845330519040395</v>
      </c>
      <c r="AN241" s="604">
        <f t="shared" si="42"/>
        <v>5.3845330519040395</v>
      </c>
      <c r="AO241" s="604">
        <f t="shared" si="42"/>
        <v>5.3845330519040395</v>
      </c>
      <c r="AP241" s="604">
        <f t="shared" si="42"/>
        <v>5.3845330519040395</v>
      </c>
      <c r="AQ241" s="604">
        <f t="shared" si="42"/>
        <v>5.3845330519040395</v>
      </c>
      <c r="AR241" s="604">
        <f t="shared" si="42"/>
        <v>5.3845330519040395</v>
      </c>
      <c r="AS241" s="604">
        <f t="shared" si="42"/>
        <v>5.3845330519040395</v>
      </c>
      <c r="AT241" s="604">
        <f t="shared" si="42"/>
        <v>5.3845330519040395</v>
      </c>
      <c r="AU241" s="604">
        <f t="shared" si="42"/>
        <v>5.3845330519040395</v>
      </c>
      <c r="AV241" s="604">
        <f t="shared" si="42"/>
        <v>5.3845330519040395</v>
      </c>
      <c r="AW241" s="604">
        <f t="shared" si="42"/>
        <v>5.3845330519040395</v>
      </c>
      <c r="AX241" s="605">
        <f t="shared" si="42"/>
        <v>5.3845330519040395</v>
      </c>
    </row>
    <row r="242" spans="1:50" outlineLevel="1" x14ac:dyDescent="0.25">
      <c r="B242" s="591" t="s">
        <v>679</v>
      </c>
      <c r="C242" s="609">
        <v>-2E-3</v>
      </c>
      <c r="D242" s="606">
        <f t="shared" ref="D242:D244" si="43">I234</f>
        <v>0</v>
      </c>
      <c r="E242" s="606">
        <f t="shared" ref="E242:AD242" si="44">D242*(1+$C242)</f>
        <v>0</v>
      </c>
      <c r="F242" s="606">
        <f t="shared" si="44"/>
        <v>0</v>
      </c>
      <c r="G242" s="606">
        <f t="shared" si="44"/>
        <v>0</v>
      </c>
      <c r="H242" s="606">
        <f t="shared" si="44"/>
        <v>0</v>
      </c>
      <c r="I242" s="606">
        <f t="shared" si="44"/>
        <v>0</v>
      </c>
      <c r="J242" s="606">
        <f t="shared" si="44"/>
        <v>0</v>
      </c>
      <c r="K242" s="606">
        <f t="shared" si="44"/>
        <v>0</v>
      </c>
      <c r="L242" s="606">
        <f t="shared" si="44"/>
        <v>0</v>
      </c>
      <c r="M242" s="606">
        <f t="shared" si="44"/>
        <v>0</v>
      </c>
      <c r="N242" s="606">
        <f t="shared" si="44"/>
        <v>0</v>
      </c>
      <c r="O242" s="606">
        <f t="shared" si="44"/>
        <v>0</v>
      </c>
      <c r="P242" s="606">
        <f t="shared" si="44"/>
        <v>0</v>
      </c>
      <c r="Q242" s="606">
        <f t="shared" si="44"/>
        <v>0</v>
      </c>
      <c r="R242" s="606">
        <f t="shared" si="44"/>
        <v>0</v>
      </c>
      <c r="S242" s="606">
        <f t="shared" si="44"/>
        <v>0</v>
      </c>
      <c r="T242" s="606">
        <f t="shared" si="44"/>
        <v>0</v>
      </c>
      <c r="U242" s="606">
        <f t="shared" si="44"/>
        <v>0</v>
      </c>
      <c r="V242" s="606">
        <f t="shared" si="44"/>
        <v>0</v>
      </c>
      <c r="W242" s="606">
        <f t="shared" si="44"/>
        <v>0</v>
      </c>
      <c r="X242" s="606">
        <f t="shared" si="44"/>
        <v>0</v>
      </c>
      <c r="Y242" s="606">
        <f t="shared" si="44"/>
        <v>0</v>
      </c>
      <c r="Z242" s="606">
        <f t="shared" si="44"/>
        <v>0</v>
      </c>
      <c r="AA242" s="606">
        <f t="shared" si="44"/>
        <v>0</v>
      </c>
      <c r="AB242" s="606">
        <f t="shared" si="44"/>
        <v>0</v>
      </c>
      <c r="AC242" s="606">
        <f t="shared" si="44"/>
        <v>0</v>
      </c>
      <c r="AD242" s="606">
        <f t="shared" si="44"/>
        <v>0</v>
      </c>
      <c r="AE242" s="606">
        <f t="shared" ref="AE242:AX242" si="45">AD242*(1+$C242)</f>
        <v>0</v>
      </c>
      <c r="AF242" s="606">
        <f t="shared" si="45"/>
        <v>0</v>
      </c>
      <c r="AG242" s="606">
        <f t="shared" si="45"/>
        <v>0</v>
      </c>
      <c r="AH242" s="606">
        <f t="shared" si="45"/>
        <v>0</v>
      </c>
      <c r="AI242" s="606">
        <f t="shared" si="45"/>
        <v>0</v>
      </c>
      <c r="AJ242" s="606">
        <f t="shared" si="45"/>
        <v>0</v>
      </c>
      <c r="AK242" s="606">
        <f t="shared" si="45"/>
        <v>0</v>
      </c>
      <c r="AL242" s="606">
        <f t="shared" si="45"/>
        <v>0</v>
      </c>
      <c r="AM242" s="606">
        <f t="shared" si="45"/>
        <v>0</v>
      </c>
      <c r="AN242" s="606">
        <f t="shared" si="45"/>
        <v>0</v>
      </c>
      <c r="AO242" s="606">
        <f t="shared" si="45"/>
        <v>0</v>
      </c>
      <c r="AP242" s="606">
        <f t="shared" si="45"/>
        <v>0</v>
      </c>
      <c r="AQ242" s="606">
        <f t="shared" si="45"/>
        <v>0</v>
      </c>
      <c r="AR242" s="606">
        <f t="shared" si="45"/>
        <v>0</v>
      </c>
      <c r="AS242" s="606">
        <f t="shared" si="45"/>
        <v>0</v>
      </c>
      <c r="AT242" s="606">
        <f t="shared" si="45"/>
        <v>0</v>
      </c>
      <c r="AU242" s="606">
        <f t="shared" si="45"/>
        <v>0</v>
      </c>
      <c r="AV242" s="606">
        <f t="shared" si="45"/>
        <v>0</v>
      </c>
      <c r="AW242" s="606">
        <f t="shared" si="45"/>
        <v>0</v>
      </c>
      <c r="AX242" s="607">
        <f t="shared" si="45"/>
        <v>0</v>
      </c>
    </row>
    <row r="243" spans="1:50" outlineLevel="1" x14ac:dyDescent="0.25">
      <c r="B243" s="588" t="s">
        <v>682</v>
      </c>
      <c r="C243" s="609">
        <v>-1.7000000000000001E-2</v>
      </c>
      <c r="D243" s="604">
        <f t="shared" si="43"/>
        <v>6.6000000000000005</v>
      </c>
      <c r="E243" s="604">
        <f t="shared" ref="E243:AD243" si="46">D243*(1+$C243)</f>
        <v>6.4878</v>
      </c>
      <c r="F243" s="604">
        <f t="shared" si="46"/>
        <v>6.3775073999999998</v>
      </c>
      <c r="G243" s="604">
        <f t="shared" si="46"/>
        <v>6.2690897741999994</v>
      </c>
      <c r="H243" s="604">
        <f t="shared" si="46"/>
        <v>6.1625152480385994</v>
      </c>
      <c r="I243" s="604">
        <f t="shared" si="46"/>
        <v>6.0577524888219427</v>
      </c>
      <c r="J243" s="604">
        <f t="shared" si="46"/>
        <v>5.9547706965119698</v>
      </c>
      <c r="K243" s="604">
        <f t="shared" si="46"/>
        <v>5.8535395946712665</v>
      </c>
      <c r="L243" s="604">
        <f t="shared" si="46"/>
        <v>5.7540294215618548</v>
      </c>
      <c r="M243" s="604">
        <f t="shared" si="46"/>
        <v>5.6562109213953029</v>
      </c>
      <c r="N243" s="604">
        <f t="shared" si="46"/>
        <v>5.5600553357315823</v>
      </c>
      <c r="O243" s="604">
        <f t="shared" si="46"/>
        <v>5.4655343950241457</v>
      </c>
      <c r="P243" s="604">
        <f t="shared" si="46"/>
        <v>5.3726203103087355</v>
      </c>
      <c r="Q243" s="604">
        <f t="shared" si="46"/>
        <v>5.2812857650334868</v>
      </c>
      <c r="R243" s="604">
        <f t="shared" si="46"/>
        <v>5.1915039070279176</v>
      </c>
      <c r="S243" s="604">
        <f t="shared" si="46"/>
        <v>5.1032483406084426</v>
      </c>
      <c r="T243" s="604">
        <f t="shared" si="46"/>
        <v>5.016493118818099</v>
      </c>
      <c r="U243" s="604">
        <f t="shared" si="46"/>
        <v>4.9312127357981916</v>
      </c>
      <c r="V243" s="604">
        <f t="shared" si="46"/>
        <v>4.8473821192896223</v>
      </c>
      <c r="W243" s="604">
        <f t="shared" si="46"/>
        <v>4.764976623261699</v>
      </c>
      <c r="X243" s="604">
        <f t="shared" si="46"/>
        <v>4.6839720206662498</v>
      </c>
      <c r="Y243" s="604">
        <f t="shared" si="46"/>
        <v>4.6043444963149236</v>
      </c>
      <c r="Z243" s="604">
        <f t="shared" si="46"/>
        <v>4.5260706398775694</v>
      </c>
      <c r="AA243" s="604">
        <f t="shared" si="46"/>
        <v>4.4491274389996507</v>
      </c>
      <c r="AB243" s="604">
        <f t="shared" si="46"/>
        <v>4.373492272536657</v>
      </c>
      <c r="AC243" s="604">
        <f t="shared" si="46"/>
        <v>4.299142903903534</v>
      </c>
      <c r="AD243" s="604">
        <f t="shared" si="46"/>
        <v>4.226057474537174</v>
      </c>
      <c r="AE243" s="604">
        <f>AD243</f>
        <v>4.226057474537174</v>
      </c>
      <c r="AF243" s="604">
        <f t="shared" ref="AF243:AX243" si="47">AE243</f>
        <v>4.226057474537174</v>
      </c>
      <c r="AG243" s="604">
        <f t="shared" si="47"/>
        <v>4.226057474537174</v>
      </c>
      <c r="AH243" s="604">
        <f t="shared" si="47"/>
        <v>4.226057474537174</v>
      </c>
      <c r="AI243" s="604">
        <f t="shared" si="47"/>
        <v>4.226057474537174</v>
      </c>
      <c r="AJ243" s="604">
        <f t="shared" si="47"/>
        <v>4.226057474537174</v>
      </c>
      <c r="AK243" s="604">
        <f t="shared" si="47"/>
        <v>4.226057474537174</v>
      </c>
      <c r="AL243" s="604">
        <f t="shared" si="47"/>
        <v>4.226057474537174</v>
      </c>
      <c r="AM243" s="604">
        <f t="shared" si="47"/>
        <v>4.226057474537174</v>
      </c>
      <c r="AN243" s="604">
        <f t="shared" si="47"/>
        <v>4.226057474537174</v>
      </c>
      <c r="AO243" s="604">
        <f t="shared" si="47"/>
        <v>4.226057474537174</v>
      </c>
      <c r="AP243" s="604">
        <f t="shared" si="47"/>
        <v>4.226057474537174</v>
      </c>
      <c r="AQ243" s="604">
        <f t="shared" si="47"/>
        <v>4.226057474537174</v>
      </c>
      <c r="AR243" s="604">
        <f t="shared" si="47"/>
        <v>4.226057474537174</v>
      </c>
      <c r="AS243" s="604">
        <f t="shared" si="47"/>
        <v>4.226057474537174</v>
      </c>
      <c r="AT243" s="604">
        <f t="shared" si="47"/>
        <v>4.226057474537174</v>
      </c>
      <c r="AU243" s="604">
        <f t="shared" si="47"/>
        <v>4.226057474537174</v>
      </c>
      <c r="AV243" s="604">
        <f t="shared" si="47"/>
        <v>4.226057474537174</v>
      </c>
      <c r="AW243" s="604">
        <f t="shared" si="47"/>
        <v>4.226057474537174</v>
      </c>
      <c r="AX243" s="605">
        <f t="shared" si="47"/>
        <v>4.226057474537174</v>
      </c>
    </row>
    <row r="244" spans="1:50" outlineLevel="1" x14ac:dyDescent="0.25">
      <c r="B244" s="591" t="s">
        <v>683</v>
      </c>
      <c r="C244" s="609">
        <v>-5.0000000000000001E-3</v>
      </c>
      <c r="D244" s="606">
        <f t="shared" si="43"/>
        <v>1.87</v>
      </c>
      <c r="E244" s="606">
        <f t="shared" ref="E244:AD244" si="48">D244*(1+$C244)</f>
        <v>1.8606500000000001</v>
      </c>
      <c r="F244" s="606">
        <f t="shared" si="48"/>
        <v>1.85134675</v>
      </c>
      <c r="G244" s="606">
        <f t="shared" si="48"/>
        <v>1.84209001625</v>
      </c>
      <c r="H244" s="606">
        <f t="shared" si="48"/>
        <v>1.83287956616875</v>
      </c>
      <c r="I244" s="606">
        <f t="shared" si="48"/>
        <v>1.8237151683379063</v>
      </c>
      <c r="J244" s="606">
        <f t="shared" si="48"/>
        <v>1.8145965924962166</v>
      </c>
      <c r="K244" s="606">
        <f t="shared" si="48"/>
        <v>1.8055236095337355</v>
      </c>
      <c r="L244" s="606">
        <f t="shared" si="48"/>
        <v>1.7964959914860668</v>
      </c>
      <c r="M244" s="606">
        <f t="shared" si="48"/>
        <v>1.7875135115286365</v>
      </c>
      <c r="N244" s="606">
        <f t="shared" si="48"/>
        <v>1.7785759439709932</v>
      </c>
      <c r="O244" s="606">
        <f t="shared" si="48"/>
        <v>1.7696830642511381</v>
      </c>
      <c r="P244" s="606">
        <f t="shared" si="48"/>
        <v>1.7608346489298823</v>
      </c>
      <c r="Q244" s="606">
        <f t="shared" si="48"/>
        <v>1.752030475685233</v>
      </c>
      <c r="R244" s="606">
        <f t="shared" si="48"/>
        <v>1.7432703233068068</v>
      </c>
      <c r="S244" s="606">
        <f t="shared" si="48"/>
        <v>1.7345539716902727</v>
      </c>
      <c r="T244" s="606">
        <f t="shared" si="48"/>
        <v>1.7258812018318213</v>
      </c>
      <c r="U244" s="606">
        <f t="shared" si="48"/>
        <v>1.7172517958226621</v>
      </c>
      <c r="V244" s="606">
        <f t="shared" si="48"/>
        <v>1.7086655368435488</v>
      </c>
      <c r="W244" s="606">
        <f t="shared" si="48"/>
        <v>1.7001222091593311</v>
      </c>
      <c r="X244" s="606">
        <f t="shared" si="48"/>
        <v>1.6916215981135345</v>
      </c>
      <c r="Y244" s="606">
        <f t="shared" si="48"/>
        <v>1.6831634901229668</v>
      </c>
      <c r="Z244" s="606">
        <f t="shared" si="48"/>
        <v>1.674747672672352</v>
      </c>
      <c r="AA244" s="606">
        <f t="shared" si="48"/>
        <v>1.6663739343089903</v>
      </c>
      <c r="AB244" s="606">
        <f t="shared" si="48"/>
        <v>1.6580420646374454</v>
      </c>
      <c r="AC244" s="606">
        <f t="shared" si="48"/>
        <v>1.6497518543142582</v>
      </c>
      <c r="AD244" s="606">
        <f t="shared" si="48"/>
        <v>1.641503095042687</v>
      </c>
      <c r="AE244" s="606">
        <f t="shared" ref="AE244:AX244" si="49">AD244*(1+$C244)</f>
        <v>1.6332955795674735</v>
      </c>
      <c r="AF244" s="606">
        <f t="shared" si="49"/>
        <v>1.6251291016696361</v>
      </c>
      <c r="AG244" s="606">
        <f t="shared" si="49"/>
        <v>1.6170034561612878</v>
      </c>
      <c r="AH244" s="606">
        <f t="shared" si="49"/>
        <v>1.6089184388804814</v>
      </c>
      <c r="AI244" s="606">
        <f t="shared" si="49"/>
        <v>1.600873846686079</v>
      </c>
      <c r="AJ244" s="606">
        <f t="shared" si="49"/>
        <v>1.5928694774526486</v>
      </c>
      <c r="AK244" s="606">
        <f t="shared" si="49"/>
        <v>1.5849051300653854</v>
      </c>
      <c r="AL244" s="606">
        <f t="shared" si="49"/>
        <v>1.5769806044150585</v>
      </c>
      <c r="AM244" s="606">
        <f t="shared" si="49"/>
        <v>1.5690957013929832</v>
      </c>
      <c r="AN244" s="606">
        <f t="shared" si="49"/>
        <v>1.5612502228860183</v>
      </c>
      <c r="AO244" s="606">
        <f t="shared" si="49"/>
        <v>1.5534439717715882</v>
      </c>
      <c r="AP244" s="606">
        <f t="shared" si="49"/>
        <v>1.5456767519127304</v>
      </c>
      <c r="AQ244" s="606">
        <f t="shared" si="49"/>
        <v>1.5379483681531667</v>
      </c>
      <c r="AR244" s="606">
        <f t="shared" si="49"/>
        <v>1.5302586263124009</v>
      </c>
      <c r="AS244" s="606">
        <f t="shared" si="49"/>
        <v>1.522607333180839</v>
      </c>
      <c r="AT244" s="606">
        <f t="shared" si="49"/>
        <v>1.5149942965149348</v>
      </c>
      <c r="AU244" s="606">
        <f t="shared" si="49"/>
        <v>1.5074193250323602</v>
      </c>
      <c r="AV244" s="606">
        <f t="shared" si="49"/>
        <v>1.4998822284071984</v>
      </c>
      <c r="AW244" s="606">
        <f t="shared" si="49"/>
        <v>1.4923828172651625</v>
      </c>
      <c r="AX244" s="607">
        <f t="shared" si="49"/>
        <v>1.4849209031788366</v>
      </c>
    </row>
    <row r="245" spans="1:50" outlineLevel="1" x14ac:dyDescent="0.25">
      <c r="B245" s="39" t="s">
        <v>700</v>
      </c>
      <c r="C245" s="287"/>
    </row>
    <row r="246" spans="1:50" ht="27" outlineLevel="1" x14ac:dyDescent="0.25">
      <c r="B246" s="610"/>
      <c r="C246" s="446" t="s">
        <v>698</v>
      </c>
      <c r="D246" s="600">
        <v>2024</v>
      </c>
      <c r="E246" s="600">
        <v>2025</v>
      </c>
      <c r="F246" s="600">
        <v>2026</v>
      </c>
      <c r="G246" s="600">
        <v>2027</v>
      </c>
      <c r="H246" s="600">
        <v>2028</v>
      </c>
      <c r="I246" s="600">
        <v>2029</v>
      </c>
      <c r="J246" s="600">
        <v>2030</v>
      </c>
      <c r="K246" s="600">
        <v>2031</v>
      </c>
      <c r="L246" s="600">
        <v>2032</v>
      </c>
      <c r="M246" s="600">
        <v>2033</v>
      </c>
      <c r="N246" s="600">
        <v>2034</v>
      </c>
      <c r="O246" s="600">
        <v>2035</v>
      </c>
      <c r="P246" s="600">
        <v>2036</v>
      </c>
      <c r="Q246" s="600">
        <v>2037</v>
      </c>
      <c r="R246" s="600">
        <v>2038</v>
      </c>
      <c r="S246" s="600">
        <v>2039</v>
      </c>
      <c r="T246" s="600">
        <v>2040</v>
      </c>
      <c r="U246" s="600">
        <v>2041</v>
      </c>
      <c r="V246" s="600">
        <v>2042</v>
      </c>
      <c r="W246" s="600">
        <v>2043</v>
      </c>
      <c r="X246" s="600">
        <v>2044</v>
      </c>
      <c r="Y246" s="600">
        <v>2045</v>
      </c>
      <c r="Z246" s="600">
        <v>2046</v>
      </c>
      <c r="AA246" s="600">
        <v>2047</v>
      </c>
      <c r="AB246" s="600">
        <v>2048</v>
      </c>
      <c r="AC246" s="600">
        <v>2049</v>
      </c>
      <c r="AD246" s="600">
        <v>2050</v>
      </c>
      <c r="AE246" s="600">
        <v>2051</v>
      </c>
      <c r="AF246" s="600">
        <v>2052</v>
      </c>
      <c r="AG246" s="600">
        <v>2053</v>
      </c>
      <c r="AH246" s="600">
        <v>2054</v>
      </c>
      <c r="AI246" s="600">
        <v>2055</v>
      </c>
      <c r="AJ246" s="600">
        <v>2056</v>
      </c>
      <c r="AK246" s="600">
        <v>2057</v>
      </c>
      <c r="AL246" s="600">
        <v>2058</v>
      </c>
      <c r="AM246" s="600">
        <v>2059</v>
      </c>
      <c r="AN246" s="600">
        <v>2060</v>
      </c>
      <c r="AO246" s="600">
        <v>2061</v>
      </c>
      <c r="AP246" s="600">
        <v>2062</v>
      </c>
      <c r="AQ246" s="600">
        <v>2063</v>
      </c>
      <c r="AR246" s="600">
        <v>2064</v>
      </c>
      <c r="AS246" s="600">
        <v>2065</v>
      </c>
      <c r="AT246" s="600">
        <v>2066</v>
      </c>
      <c r="AU246" s="600">
        <v>2067</v>
      </c>
      <c r="AV246" s="600">
        <v>2068</v>
      </c>
      <c r="AW246" s="600">
        <v>2069</v>
      </c>
      <c r="AX246" s="601">
        <v>2070</v>
      </c>
    </row>
    <row r="247" spans="1:50" outlineLevel="1" x14ac:dyDescent="0.25">
      <c r="B247" s="588" t="s">
        <v>676</v>
      </c>
      <c r="C247" s="611">
        <f>C241</f>
        <v>-1.2E-2</v>
      </c>
      <c r="D247" s="604">
        <f>H233</f>
        <v>0</v>
      </c>
      <c r="E247" s="604">
        <f t="shared" ref="E247:AD247" si="50">D247*(1+$C247)</f>
        <v>0</v>
      </c>
      <c r="F247" s="604">
        <f t="shared" si="50"/>
        <v>0</v>
      </c>
      <c r="G247" s="604">
        <f t="shared" si="50"/>
        <v>0</v>
      </c>
      <c r="H247" s="604">
        <f t="shared" si="50"/>
        <v>0</v>
      </c>
      <c r="I247" s="604">
        <f t="shared" si="50"/>
        <v>0</v>
      </c>
      <c r="J247" s="604">
        <f t="shared" si="50"/>
        <v>0</v>
      </c>
      <c r="K247" s="604">
        <f t="shared" si="50"/>
        <v>0</v>
      </c>
      <c r="L247" s="604">
        <f t="shared" si="50"/>
        <v>0</v>
      </c>
      <c r="M247" s="604">
        <f t="shared" si="50"/>
        <v>0</v>
      </c>
      <c r="N247" s="604">
        <f t="shared" si="50"/>
        <v>0</v>
      </c>
      <c r="O247" s="604">
        <f t="shared" si="50"/>
        <v>0</v>
      </c>
      <c r="P247" s="604">
        <f t="shared" si="50"/>
        <v>0</v>
      </c>
      <c r="Q247" s="604">
        <f t="shared" si="50"/>
        <v>0</v>
      </c>
      <c r="R247" s="604">
        <f t="shared" si="50"/>
        <v>0</v>
      </c>
      <c r="S247" s="604">
        <f t="shared" si="50"/>
        <v>0</v>
      </c>
      <c r="T247" s="604">
        <f t="shared" si="50"/>
        <v>0</v>
      </c>
      <c r="U247" s="604">
        <f t="shared" si="50"/>
        <v>0</v>
      </c>
      <c r="V247" s="604">
        <f t="shared" si="50"/>
        <v>0</v>
      </c>
      <c r="W247" s="604">
        <f t="shared" si="50"/>
        <v>0</v>
      </c>
      <c r="X247" s="604">
        <f t="shared" si="50"/>
        <v>0</v>
      </c>
      <c r="Y247" s="604">
        <f t="shared" si="50"/>
        <v>0</v>
      </c>
      <c r="Z247" s="604">
        <f t="shared" si="50"/>
        <v>0</v>
      </c>
      <c r="AA247" s="604">
        <f t="shared" si="50"/>
        <v>0</v>
      </c>
      <c r="AB247" s="604">
        <f t="shared" si="50"/>
        <v>0</v>
      </c>
      <c r="AC247" s="604">
        <f t="shared" si="50"/>
        <v>0</v>
      </c>
      <c r="AD247" s="604">
        <f t="shared" si="50"/>
        <v>0</v>
      </c>
      <c r="AE247" s="604">
        <f>AD247</f>
        <v>0</v>
      </c>
      <c r="AF247" s="604">
        <f t="shared" ref="AF247:AX247" si="51">AE247</f>
        <v>0</v>
      </c>
      <c r="AG247" s="604">
        <f t="shared" si="51"/>
        <v>0</v>
      </c>
      <c r="AH247" s="604">
        <f t="shared" si="51"/>
        <v>0</v>
      </c>
      <c r="AI247" s="604">
        <f t="shared" si="51"/>
        <v>0</v>
      </c>
      <c r="AJ247" s="604">
        <f t="shared" si="51"/>
        <v>0</v>
      </c>
      <c r="AK247" s="604">
        <f t="shared" si="51"/>
        <v>0</v>
      </c>
      <c r="AL247" s="604">
        <f t="shared" si="51"/>
        <v>0</v>
      </c>
      <c r="AM247" s="604">
        <f t="shared" si="51"/>
        <v>0</v>
      </c>
      <c r="AN247" s="604">
        <f t="shared" si="51"/>
        <v>0</v>
      </c>
      <c r="AO247" s="604">
        <f t="shared" si="51"/>
        <v>0</v>
      </c>
      <c r="AP247" s="604">
        <f t="shared" si="51"/>
        <v>0</v>
      </c>
      <c r="AQ247" s="604">
        <f t="shared" si="51"/>
        <v>0</v>
      </c>
      <c r="AR247" s="604">
        <f t="shared" si="51"/>
        <v>0</v>
      </c>
      <c r="AS247" s="604">
        <f t="shared" si="51"/>
        <v>0</v>
      </c>
      <c r="AT247" s="604">
        <f t="shared" si="51"/>
        <v>0</v>
      </c>
      <c r="AU247" s="604">
        <f t="shared" si="51"/>
        <v>0</v>
      </c>
      <c r="AV247" s="604">
        <f t="shared" si="51"/>
        <v>0</v>
      </c>
      <c r="AW247" s="604">
        <f t="shared" si="51"/>
        <v>0</v>
      </c>
      <c r="AX247" s="605">
        <f t="shared" si="51"/>
        <v>0</v>
      </c>
    </row>
    <row r="248" spans="1:50" outlineLevel="1" x14ac:dyDescent="0.25">
      <c r="B248" s="591" t="s">
        <v>679</v>
      </c>
      <c r="C248" s="609">
        <v>-2E-3</v>
      </c>
      <c r="D248" s="606">
        <f t="shared" ref="D248:D250" si="52">H234</f>
        <v>20.239999999999998</v>
      </c>
      <c r="E248" s="606">
        <f t="shared" ref="E248:AD248" si="53">D248*(1+$C248)</f>
        <v>20.19952</v>
      </c>
      <c r="F248" s="606">
        <f t="shared" si="53"/>
        <v>20.159120959999999</v>
      </c>
      <c r="G248" s="606">
        <f t="shared" si="53"/>
        <v>20.118802718079998</v>
      </c>
      <c r="H248" s="606">
        <f t="shared" si="53"/>
        <v>20.078565112643837</v>
      </c>
      <c r="I248" s="606">
        <f t="shared" si="53"/>
        <v>20.038407982418548</v>
      </c>
      <c r="J248" s="606">
        <f t="shared" si="53"/>
        <v>19.99833116645371</v>
      </c>
      <c r="K248" s="606">
        <f t="shared" si="53"/>
        <v>19.958334504120803</v>
      </c>
      <c r="L248" s="606">
        <f t="shared" si="53"/>
        <v>19.91841783511256</v>
      </c>
      <c r="M248" s="606">
        <f t="shared" si="53"/>
        <v>19.878580999442335</v>
      </c>
      <c r="N248" s="606">
        <f t="shared" si="53"/>
        <v>19.838823837443449</v>
      </c>
      <c r="O248" s="606">
        <f t="shared" si="53"/>
        <v>19.799146189768564</v>
      </c>
      <c r="P248" s="606">
        <f t="shared" si="53"/>
        <v>19.759547897389027</v>
      </c>
      <c r="Q248" s="606">
        <f t="shared" si="53"/>
        <v>19.72002880159425</v>
      </c>
      <c r="R248" s="606">
        <f t="shared" si="53"/>
        <v>19.680588743991063</v>
      </c>
      <c r="S248" s="606">
        <f t="shared" si="53"/>
        <v>19.64122756650308</v>
      </c>
      <c r="T248" s="606">
        <f t="shared" si="53"/>
        <v>19.601945111370075</v>
      </c>
      <c r="U248" s="606">
        <f t="shared" si="53"/>
        <v>19.562741221147334</v>
      </c>
      <c r="V248" s="606">
        <f t="shared" si="53"/>
        <v>19.52361573870504</v>
      </c>
      <c r="W248" s="606">
        <f t="shared" si="53"/>
        <v>19.484568507227628</v>
      </c>
      <c r="X248" s="606">
        <f t="shared" si="53"/>
        <v>19.445599370213174</v>
      </c>
      <c r="Y248" s="606">
        <f t="shared" si="53"/>
        <v>19.406708171472747</v>
      </c>
      <c r="Z248" s="606">
        <f t="shared" si="53"/>
        <v>19.3678947551298</v>
      </c>
      <c r="AA248" s="606">
        <f t="shared" si="53"/>
        <v>19.329158965619541</v>
      </c>
      <c r="AB248" s="606">
        <f t="shared" si="53"/>
        <v>19.290500647688301</v>
      </c>
      <c r="AC248" s="606">
        <f t="shared" si="53"/>
        <v>19.251919646392924</v>
      </c>
      <c r="AD248" s="606">
        <f t="shared" si="53"/>
        <v>19.213415807100137</v>
      </c>
      <c r="AE248" s="606">
        <f t="shared" ref="AE248:AX248" si="54">AD248*(1+$C248)</f>
        <v>19.174988975485938</v>
      </c>
      <c r="AF248" s="606">
        <f t="shared" si="54"/>
        <v>19.136638997534966</v>
      </c>
      <c r="AG248" s="606">
        <f t="shared" si="54"/>
        <v>19.098365719539895</v>
      </c>
      <c r="AH248" s="606">
        <f t="shared" si="54"/>
        <v>19.060168988100816</v>
      </c>
      <c r="AI248" s="606">
        <f t="shared" si="54"/>
        <v>19.022048650124614</v>
      </c>
      <c r="AJ248" s="606">
        <f t="shared" si="54"/>
        <v>18.984004552824363</v>
      </c>
      <c r="AK248" s="606">
        <f t="shared" si="54"/>
        <v>18.946036543718716</v>
      </c>
      <c r="AL248" s="606">
        <f t="shared" si="54"/>
        <v>18.908144470631278</v>
      </c>
      <c r="AM248" s="606">
        <f t="shared" si="54"/>
        <v>18.870328181690017</v>
      </c>
      <c r="AN248" s="606">
        <f t="shared" si="54"/>
        <v>18.832587525326637</v>
      </c>
      <c r="AO248" s="606">
        <f t="shared" si="54"/>
        <v>18.794922350275986</v>
      </c>
      <c r="AP248" s="606">
        <f t="shared" si="54"/>
        <v>18.757332505575434</v>
      </c>
      <c r="AQ248" s="606">
        <f t="shared" si="54"/>
        <v>18.719817840564282</v>
      </c>
      <c r="AR248" s="606">
        <f t="shared" si="54"/>
        <v>18.682378204883154</v>
      </c>
      <c r="AS248" s="606">
        <f t="shared" si="54"/>
        <v>18.645013448473389</v>
      </c>
      <c r="AT248" s="606">
        <f t="shared" si="54"/>
        <v>18.607723421576441</v>
      </c>
      <c r="AU248" s="606">
        <f t="shared" si="54"/>
        <v>18.570507974733289</v>
      </c>
      <c r="AV248" s="606">
        <f t="shared" si="54"/>
        <v>18.533366958783823</v>
      </c>
      <c r="AW248" s="606">
        <f t="shared" si="54"/>
        <v>18.496300224866257</v>
      </c>
      <c r="AX248" s="607">
        <f t="shared" si="54"/>
        <v>18.459307624416525</v>
      </c>
    </row>
    <row r="249" spans="1:50" outlineLevel="1" x14ac:dyDescent="0.25">
      <c r="B249" s="588" t="s">
        <v>682</v>
      </c>
      <c r="C249" s="609">
        <v>-1.7000000000000001E-2</v>
      </c>
      <c r="D249" s="604">
        <f t="shared" si="52"/>
        <v>0</v>
      </c>
      <c r="E249" s="604">
        <f t="shared" ref="E249:AD249" si="55">D249*(1+$C249)</f>
        <v>0</v>
      </c>
      <c r="F249" s="604">
        <f t="shared" si="55"/>
        <v>0</v>
      </c>
      <c r="G249" s="604">
        <f t="shared" si="55"/>
        <v>0</v>
      </c>
      <c r="H249" s="604">
        <f t="shared" si="55"/>
        <v>0</v>
      </c>
      <c r="I249" s="604">
        <f t="shared" si="55"/>
        <v>0</v>
      </c>
      <c r="J249" s="604">
        <f t="shared" si="55"/>
        <v>0</v>
      </c>
      <c r="K249" s="604">
        <f t="shared" si="55"/>
        <v>0</v>
      </c>
      <c r="L249" s="604">
        <f t="shared" si="55"/>
        <v>0</v>
      </c>
      <c r="M249" s="604">
        <f t="shared" si="55"/>
        <v>0</v>
      </c>
      <c r="N249" s="604">
        <f t="shared" si="55"/>
        <v>0</v>
      </c>
      <c r="O249" s="604">
        <f t="shared" si="55"/>
        <v>0</v>
      </c>
      <c r="P249" s="604">
        <f t="shared" si="55"/>
        <v>0</v>
      </c>
      <c r="Q249" s="604">
        <f t="shared" si="55"/>
        <v>0</v>
      </c>
      <c r="R249" s="604">
        <f t="shared" si="55"/>
        <v>0</v>
      </c>
      <c r="S249" s="604">
        <f t="shared" si="55"/>
        <v>0</v>
      </c>
      <c r="T249" s="604">
        <f t="shared" si="55"/>
        <v>0</v>
      </c>
      <c r="U249" s="604">
        <f t="shared" si="55"/>
        <v>0</v>
      </c>
      <c r="V249" s="604">
        <f t="shared" si="55"/>
        <v>0</v>
      </c>
      <c r="W249" s="604">
        <f t="shared" si="55"/>
        <v>0</v>
      </c>
      <c r="X249" s="604">
        <f t="shared" si="55"/>
        <v>0</v>
      </c>
      <c r="Y249" s="604">
        <f t="shared" si="55"/>
        <v>0</v>
      </c>
      <c r="Z249" s="604">
        <f t="shared" si="55"/>
        <v>0</v>
      </c>
      <c r="AA249" s="604">
        <f t="shared" si="55"/>
        <v>0</v>
      </c>
      <c r="AB249" s="604">
        <f t="shared" si="55"/>
        <v>0</v>
      </c>
      <c r="AC249" s="604">
        <f t="shared" si="55"/>
        <v>0</v>
      </c>
      <c r="AD249" s="604">
        <f t="shared" si="55"/>
        <v>0</v>
      </c>
      <c r="AE249" s="604">
        <f>AD249</f>
        <v>0</v>
      </c>
      <c r="AF249" s="604">
        <f t="shared" ref="AF249:AX249" si="56">AE249</f>
        <v>0</v>
      </c>
      <c r="AG249" s="604">
        <f t="shared" si="56"/>
        <v>0</v>
      </c>
      <c r="AH249" s="604">
        <f t="shared" si="56"/>
        <v>0</v>
      </c>
      <c r="AI249" s="604">
        <f t="shared" si="56"/>
        <v>0</v>
      </c>
      <c r="AJ249" s="604">
        <f t="shared" si="56"/>
        <v>0</v>
      </c>
      <c r="AK249" s="604">
        <f t="shared" si="56"/>
        <v>0</v>
      </c>
      <c r="AL249" s="604">
        <f t="shared" si="56"/>
        <v>0</v>
      </c>
      <c r="AM249" s="604">
        <f t="shared" si="56"/>
        <v>0</v>
      </c>
      <c r="AN249" s="604">
        <f t="shared" si="56"/>
        <v>0</v>
      </c>
      <c r="AO249" s="604">
        <f t="shared" si="56"/>
        <v>0</v>
      </c>
      <c r="AP249" s="604">
        <f t="shared" si="56"/>
        <v>0</v>
      </c>
      <c r="AQ249" s="604">
        <f t="shared" si="56"/>
        <v>0</v>
      </c>
      <c r="AR249" s="604">
        <f t="shared" si="56"/>
        <v>0</v>
      </c>
      <c r="AS249" s="604">
        <f t="shared" si="56"/>
        <v>0</v>
      </c>
      <c r="AT249" s="604">
        <f t="shared" si="56"/>
        <v>0</v>
      </c>
      <c r="AU249" s="604">
        <f t="shared" si="56"/>
        <v>0</v>
      </c>
      <c r="AV249" s="604">
        <f t="shared" si="56"/>
        <v>0</v>
      </c>
      <c r="AW249" s="604">
        <f t="shared" si="56"/>
        <v>0</v>
      </c>
      <c r="AX249" s="605">
        <f t="shared" si="56"/>
        <v>0</v>
      </c>
    </row>
    <row r="250" spans="1:50" outlineLevel="1" x14ac:dyDescent="0.25">
      <c r="A250" s="612"/>
      <c r="B250" s="591" t="s">
        <v>683</v>
      </c>
      <c r="C250" s="609">
        <v>-5.0000000000000001E-3</v>
      </c>
      <c r="D250" s="606">
        <f t="shared" si="52"/>
        <v>18.04</v>
      </c>
      <c r="E250" s="606">
        <f t="shared" ref="E250:AD250" si="57">D250*(1+$C250)</f>
        <v>17.9498</v>
      </c>
      <c r="F250" s="606">
        <f t="shared" si="57"/>
        <v>17.860050999999999</v>
      </c>
      <c r="G250" s="606">
        <f t="shared" si="57"/>
        <v>17.770750744999997</v>
      </c>
      <c r="H250" s="606">
        <f t="shared" si="57"/>
        <v>17.681896991274996</v>
      </c>
      <c r="I250" s="606">
        <f t="shared" si="57"/>
        <v>17.59348750631862</v>
      </c>
      <c r="J250" s="606">
        <f t="shared" si="57"/>
        <v>17.505520068787028</v>
      </c>
      <c r="K250" s="606">
        <f t="shared" si="57"/>
        <v>17.417992468443092</v>
      </c>
      <c r="L250" s="606">
        <f t="shared" si="57"/>
        <v>17.330902506100877</v>
      </c>
      <c r="M250" s="606">
        <f t="shared" si="57"/>
        <v>17.244247993570372</v>
      </c>
      <c r="N250" s="606">
        <f t="shared" si="57"/>
        <v>17.15802675360252</v>
      </c>
      <c r="O250" s="606">
        <f t="shared" si="57"/>
        <v>17.072236619834509</v>
      </c>
      <c r="P250" s="606">
        <f t="shared" si="57"/>
        <v>16.986875436735335</v>
      </c>
      <c r="Q250" s="606">
        <f t="shared" si="57"/>
        <v>16.90194105955166</v>
      </c>
      <c r="R250" s="606">
        <f t="shared" si="57"/>
        <v>16.817431354253902</v>
      </c>
      <c r="S250" s="606">
        <f t="shared" si="57"/>
        <v>16.733344197482634</v>
      </c>
      <c r="T250" s="606">
        <f t="shared" si="57"/>
        <v>16.649677476495221</v>
      </c>
      <c r="U250" s="606">
        <f t="shared" si="57"/>
        <v>16.566429089112745</v>
      </c>
      <c r="V250" s="606">
        <f t="shared" si="57"/>
        <v>16.48359694366718</v>
      </c>
      <c r="W250" s="606">
        <f t="shared" si="57"/>
        <v>16.401178958948844</v>
      </c>
      <c r="X250" s="606">
        <f t="shared" si="57"/>
        <v>16.3191730641541</v>
      </c>
      <c r="Y250" s="606">
        <f t="shared" si="57"/>
        <v>16.237577198833328</v>
      </c>
      <c r="Z250" s="606">
        <f t="shared" si="57"/>
        <v>16.156389312839163</v>
      </c>
      <c r="AA250" s="606">
        <f t="shared" si="57"/>
        <v>16.075607366274969</v>
      </c>
      <c r="AB250" s="606">
        <f t="shared" si="57"/>
        <v>15.995229329443594</v>
      </c>
      <c r="AC250" s="606">
        <f t="shared" si="57"/>
        <v>15.915253182796377</v>
      </c>
      <c r="AD250" s="606">
        <f t="shared" si="57"/>
        <v>15.835676916882395</v>
      </c>
      <c r="AE250" s="606">
        <f t="shared" ref="AE250:AX250" si="58">AD250*(1+$C250)</f>
        <v>15.756498532297984</v>
      </c>
      <c r="AF250" s="606">
        <f t="shared" si="58"/>
        <v>15.677716039636493</v>
      </c>
      <c r="AG250" s="606">
        <f t="shared" si="58"/>
        <v>15.59932745943831</v>
      </c>
      <c r="AH250" s="606">
        <f t="shared" si="58"/>
        <v>15.521330822141119</v>
      </c>
      <c r="AI250" s="606">
        <f t="shared" si="58"/>
        <v>15.443724168030412</v>
      </c>
      <c r="AJ250" s="606">
        <f t="shared" si="58"/>
        <v>15.366505547190259</v>
      </c>
      <c r="AK250" s="606">
        <f t="shared" si="58"/>
        <v>15.289673019454309</v>
      </c>
      <c r="AL250" s="606">
        <f t="shared" si="58"/>
        <v>15.213224654357036</v>
      </c>
      <c r="AM250" s="606">
        <f t="shared" si="58"/>
        <v>15.137158531085252</v>
      </c>
      <c r="AN250" s="606">
        <f t="shared" si="58"/>
        <v>15.061472738429826</v>
      </c>
      <c r="AO250" s="606">
        <f t="shared" si="58"/>
        <v>14.986165374737677</v>
      </c>
      <c r="AP250" s="606">
        <f t="shared" si="58"/>
        <v>14.911234547863989</v>
      </c>
      <c r="AQ250" s="606">
        <f t="shared" si="58"/>
        <v>14.83667837512467</v>
      </c>
      <c r="AR250" s="606">
        <f t="shared" si="58"/>
        <v>14.762494983249047</v>
      </c>
      <c r="AS250" s="606">
        <f t="shared" si="58"/>
        <v>14.688682508332802</v>
      </c>
      <c r="AT250" s="606">
        <f t="shared" si="58"/>
        <v>14.615239095791138</v>
      </c>
      <c r="AU250" s="606">
        <f t="shared" si="58"/>
        <v>14.542162900312182</v>
      </c>
      <c r="AV250" s="606">
        <f t="shared" si="58"/>
        <v>14.469452085810621</v>
      </c>
      <c r="AW250" s="606">
        <f t="shared" si="58"/>
        <v>14.397104825381568</v>
      </c>
      <c r="AX250" s="607">
        <f t="shared" si="58"/>
        <v>14.325119301254659</v>
      </c>
    </row>
    <row r="251" spans="1:50" outlineLevel="1" x14ac:dyDescent="0.25">
      <c r="C251" s="287"/>
    </row>
    <row r="252" spans="1:50" outlineLevel="1" x14ac:dyDescent="0.25">
      <c r="B252" s="39" t="s">
        <v>701</v>
      </c>
      <c r="C252" s="287"/>
      <c r="K252" s="39"/>
    </row>
    <row r="253" spans="1:50" ht="33" customHeight="1" outlineLevel="1" x14ac:dyDescent="0.25">
      <c r="B253" s="610"/>
      <c r="C253" s="446" t="s">
        <v>702</v>
      </c>
      <c r="D253" s="600">
        <v>2024</v>
      </c>
      <c r="E253" s="600">
        <v>2025</v>
      </c>
      <c r="F253" s="600">
        <v>2026</v>
      </c>
      <c r="G253" s="600">
        <v>2027</v>
      </c>
      <c r="H253" s="600">
        <v>2028</v>
      </c>
      <c r="I253" s="600">
        <v>2029</v>
      </c>
      <c r="J253" s="600">
        <v>2030</v>
      </c>
      <c r="K253" s="600">
        <v>2031</v>
      </c>
      <c r="L253" s="600">
        <v>2032</v>
      </c>
      <c r="M253" s="600">
        <v>2033</v>
      </c>
      <c r="N253" s="600">
        <v>2034</v>
      </c>
      <c r="O253" s="600">
        <v>2035</v>
      </c>
      <c r="P253" s="600">
        <v>2036</v>
      </c>
      <c r="Q253" s="600">
        <v>2037</v>
      </c>
      <c r="R253" s="600">
        <v>2038</v>
      </c>
      <c r="S253" s="600">
        <v>2039</v>
      </c>
      <c r="T253" s="600">
        <v>2040</v>
      </c>
      <c r="U253" s="600">
        <v>2041</v>
      </c>
      <c r="V253" s="600">
        <v>2042</v>
      </c>
      <c r="W253" s="600">
        <v>2043</v>
      </c>
      <c r="X253" s="600">
        <v>2044</v>
      </c>
      <c r="Y253" s="600">
        <v>2045</v>
      </c>
      <c r="Z253" s="600">
        <v>2046</v>
      </c>
      <c r="AA253" s="600">
        <v>2047</v>
      </c>
      <c r="AB253" s="600">
        <v>2048</v>
      </c>
      <c r="AC253" s="600">
        <v>2049</v>
      </c>
      <c r="AD253" s="600">
        <v>2050</v>
      </c>
      <c r="AE253" s="600">
        <v>2051</v>
      </c>
      <c r="AF253" s="600">
        <v>2052</v>
      </c>
      <c r="AG253" s="600">
        <v>2053</v>
      </c>
      <c r="AH253" s="600">
        <v>2054</v>
      </c>
      <c r="AI253" s="600">
        <v>2055</v>
      </c>
      <c r="AJ253" s="600">
        <v>2056</v>
      </c>
      <c r="AK253" s="600">
        <v>2057</v>
      </c>
      <c r="AL253" s="600">
        <v>2058</v>
      </c>
      <c r="AM253" s="600">
        <v>2059</v>
      </c>
      <c r="AN253" s="600">
        <v>2060</v>
      </c>
      <c r="AO253" s="600">
        <v>2061</v>
      </c>
      <c r="AP253" s="600">
        <v>2062</v>
      </c>
      <c r="AQ253" s="600">
        <v>2063</v>
      </c>
      <c r="AR253" s="600">
        <v>2064</v>
      </c>
      <c r="AS253" s="600">
        <v>2065</v>
      </c>
      <c r="AT253" s="600">
        <v>2066</v>
      </c>
      <c r="AU253" s="600">
        <v>2067</v>
      </c>
      <c r="AV253" s="600">
        <v>2068</v>
      </c>
      <c r="AW253" s="600">
        <v>2069</v>
      </c>
      <c r="AX253" s="601">
        <v>2070</v>
      </c>
    </row>
    <row r="254" spans="1:50" outlineLevel="1" x14ac:dyDescent="0.25">
      <c r="B254" s="588" t="s">
        <v>676</v>
      </c>
      <c r="C254" s="611">
        <f>C241</f>
        <v>-1.2E-2</v>
      </c>
      <c r="D254" s="604">
        <f>D233</f>
        <v>166.8</v>
      </c>
      <c r="E254" s="604">
        <f t="shared" ref="E254:AX254" si="59">D254*(1+$C254)</f>
        <v>164.79840000000002</v>
      </c>
      <c r="F254" s="604">
        <f t="shared" si="59"/>
        <v>162.82081920000002</v>
      </c>
      <c r="G254" s="604">
        <f t="shared" si="59"/>
        <v>160.86696936960001</v>
      </c>
      <c r="H254" s="604">
        <f t="shared" si="59"/>
        <v>158.93656573716481</v>
      </c>
      <c r="I254" s="604">
        <f t="shared" si="59"/>
        <v>157.02932694831884</v>
      </c>
      <c r="J254" s="604">
        <f t="shared" si="59"/>
        <v>155.14497502493901</v>
      </c>
      <c r="K254" s="604">
        <f t="shared" si="59"/>
        <v>153.28323532463975</v>
      </c>
      <c r="L254" s="604">
        <f t="shared" si="59"/>
        <v>151.44383650074406</v>
      </c>
      <c r="M254" s="604">
        <f t="shared" si="59"/>
        <v>149.62651046273513</v>
      </c>
      <c r="N254" s="604">
        <f t="shared" si="59"/>
        <v>147.83099233718229</v>
      </c>
      <c r="O254" s="604">
        <f t="shared" si="59"/>
        <v>146.05702042913612</v>
      </c>
      <c r="P254" s="604">
        <f t="shared" si="59"/>
        <v>144.30433618398649</v>
      </c>
      <c r="Q254" s="604">
        <f t="shared" si="59"/>
        <v>142.57268414977867</v>
      </c>
      <c r="R254" s="604">
        <f t="shared" si="59"/>
        <v>140.86181193998132</v>
      </c>
      <c r="S254" s="604">
        <f t="shared" si="59"/>
        <v>139.17147019670153</v>
      </c>
      <c r="T254" s="604">
        <f t="shared" si="59"/>
        <v>137.5014125543411</v>
      </c>
      <c r="U254" s="604">
        <f t="shared" si="59"/>
        <v>135.85139560368901</v>
      </c>
      <c r="V254" s="604">
        <f t="shared" si="59"/>
        <v>134.22117885644474</v>
      </c>
      <c r="W254" s="604">
        <f t="shared" si="59"/>
        <v>132.6105247101674</v>
      </c>
      <c r="X254" s="604">
        <f t="shared" si="59"/>
        <v>131.0191984136454</v>
      </c>
      <c r="Y254" s="604">
        <f t="shared" si="59"/>
        <v>129.44696803268164</v>
      </c>
      <c r="Z254" s="604">
        <f t="shared" si="59"/>
        <v>127.89360441628946</v>
      </c>
      <c r="AA254" s="604">
        <f t="shared" si="59"/>
        <v>126.35888116329399</v>
      </c>
      <c r="AB254" s="604">
        <f t="shared" si="59"/>
        <v>124.84257458933446</v>
      </c>
      <c r="AC254" s="604">
        <f t="shared" si="59"/>
        <v>123.34446369426244</v>
      </c>
      <c r="AD254" s="604">
        <f t="shared" si="59"/>
        <v>121.86433012993129</v>
      </c>
      <c r="AE254" s="604">
        <f t="shared" si="59"/>
        <v>120.40195816837212</v>
      </c>
      <c r="AF254" s="604">
        <f t="shared" si="59"/>
        <v>118.95713467035165</v>
      </c>
      <c r="AG254" s="604">
        <f t="shared" si="59"/>
        <v>117.52964905430743</v>
      </c>
      <c r="AH254" s="604">
        <f t="shared" si="59"/>
        <v>116.11929326565574</v>
      </c>
      <c r="AI254" s="604">
        <f t="shared" si="59"/>
        <v>114.72586174646787</v>
      </c>
      <c r="AJ254" s="604">
        <f t="shared" si="59"/>
        <v>113.34915140551026</v>
      </c>
      <c r="AK254" s="604">
        <f t="shared" si="59"/>
        <v>111.98896158864413</v>
      </c>
      <c r="AL254" s="604">
        <f t="shared" si="59"/>
        <v>110.64509404958039</v>
      </c>
      <c r="AM254" s="604">
        <f t="shared" si="59"/>
        <v>109.31735292098543</v>
      </c>
      <c r="AN254" s="604">
        <f t="shared" si="59"/>
        <v>108.0055446859336</v>
      </c>
      <c r="AO254" s="604">
        <f t="shared" si="59"/>
        <v>106.70947814970239</v>
      </c>
      <c r="AP254" s="604">
        <f t="shared" si="59"/>
        <v>105.42896441190597</v>
      </c>
      <c r="AQ254" s="604">
        <f t="shared" si="59"/>
        <v>104.16381683896309</v>
      </c>
      <c r="AR254" s="604">
        <f t="shared" si="59"/>
        <v>102.91385103689552</v>
      </c>
      <c r="AS254" s="604">
        <f t="shared" si="59"/>
        <v>101.67888482445278</v>
      </c>
      <c r="AT254" s="604">
        <f t="shared" si="59"/>
        <v>100.45873820655935</v>
      </c>
      <c r="AU254" s="604">
        <f t="shared" si="59"/>
        <v>99.253233348080627</v>
      </c>
      <c r="AV254" s="604">
        <f t="shared" si="59"/>
        <v>98.062194547903658</v>
      </c>
      <c r="AW254" s="604">
        <f t="shared" si="59"/>
        <v>96.885448213328814</v>
      </c>
      <c r="AX254" s="605">
        <f t="shared" si="59"/>
        <v>95.722822834768863</v>
      </c>
    </row>
    <row r="255" spans="1:50" outlineLevel="1" x14ac:dyDescent="0.25">
      <c r="B255" s="591" t="s">
        <v>679</v>
      </c>
      <c r="C255" s="609">
        <v>0</v>
      </c>
      <c r="D255" s="606">
        <f>D234</f>
        <v>0</v>
      </c>
      <c r="E255" s="606">
        <f t="shared" ref="E255:AX255" si="60">D255*(1+$C255)</f>
        <v>0</v>
      </c>
      <c r="F255" s="606">
        <f t="shared" si="60"/>
        <v>0</v>
      </c>
      <c r="G255" s="606">
        <f t="shared" si="60"/>
        <v>0</v>
      </c>
      <c r="H255" s="606">
        <f t="shared" si="60"/>
        <v>0</v>
      </c>
      <c r="I255" s="606">
        <f t="shared" si="60"/>
        <v>0</v>
      </c>
      <c r="J255" s="606">
        <f t="shared" si="60"/>
        <v>0</v>
      </c>
      <c r="K255" s="606">
        <f t="shared" si="60"/>
        <v>0</v>
      </c>
      <c r="L255" s="606">
        <f t="shared" si="60"/>
        <v>0</v>
      </c>
      <c r="M255" s="606">
        <f t="shared" si="60"/>
        <v>0</v>
      </c>
      <c r="N255" s="606">
        <f t="shared" si="60"/>
        <v>0</v>
      </c>
      <c r="O255" s="606">
        <f t="shared" si="60"/>
        <v>0</v>
      </c>
      <c r="P255" s="606">
        <f t="shared" si="60"/>
        <v>0</v>
      </c>
      <c r="Q255" s="606">
        <f t="shared" si="60"/>
        <v>0</v>
      </c>
      <c r="R255" s="606">
        <f t="shared" si="60"/>
        <v>0</v>
      </c>
      <c r="S255" s="606">
        <f t="shared" si="60"/>
        <v>0</v>
      </c>
      <c r="T255" s="606">
        <f t="shared" si="60"/>
        <v>0</v>
      </c>
      <c r="U255" s="606">
        <f t="shared" si="60"/>
        <v>0</v>
      </c>
      <c r="V255" s="606">
        <f t="shared" si="60"/>
        <v>0</v>
      </c>
      <c r="W255" s="606">
        <f t="shared" si="60"/>
        <v>0</v>
      </c>
      <c r="X255" s="606">
        <f t="shared" si="60"/>
        <v>0</v>
      </c>
      <c r="Y255" s="606">
        <f t="shared" si="60"/>
        <v>0</v>
      </c>
      <c r="Z255" s="606">
        <f t="shared" si="60"/>
        <v>0</v>
      </c>
      <c r="AA255" s="606">
        <f t="shared" si="60"/>
        <v>0</v>
      </c>
      <c r="AB255" s="606">
        <f t="shared" si="60"/>
        <v>0</v>
      </c>
      <c r="AC255" s="606">
        <f t="shared" si="60"/>
        <v>0</v>
      </c>
      <c r="AD255" s="606">
        <f t="shared" si="60"/>
        <v>0</v>
      </c>
      <c r="AE255" s="606">
        <f t="shared" si="60"/>
        <v>0</v>
      </c>
      <c r="AF255" s="606">
        <f t="shared" si="60"/>
        <v>0</v>
      </c>
      <c r="AG255" s="606">
        <f t="shared" si="60"/>
        <v>0</v>
      </c>
      <c r="AH255" s="606">
        <f t="shared" si="60"/>
        <v>0</v>
      </c>
      <c r="AI255" s="606">
        <f t="shared" si="60"/>
        <v>0</v>
      </c>
      <c r="AJ255" s="606">
        <f t="shared" si="60"/>
        <v>0</v>
      </c>
      <c r="AK255" s="606">
        <f t="shared" si="60"/>
        <v>0</v>
      </c>
      <c r="AL255" s="606">
        <f t="shared" si="60"/>
        <v>0</v>
      </c>
      <c r="AM255" s="606">
        <f t="shared" si="60"/>
        <v>0</v>
      </c>
      <c r="AN255" s="606">
        <f t="shared" si="60"/>
        <v>0</v>
      </c>
      <c r="AO255" s="606">
        <f t="shared" si="60"/>
        <v>0</v>
      </c>
      <c r="AP255" s="606">
        <f t="shared" si="60"/>
        <v>0</v>
      </c>
      <c r="AQ255" s="606">
        <f t="shared" si="60"/>
        <v>0</v>
      </c>
      <c r="AR255" s="606">
        <f t="shared" si="60"/>
        <v>0</v>
      </c>
      <c r="AS255" s="606">
        <f t="shared" si="60"/>
        <v>0</v>
      </c>
      <c r="AT255" s="606">
        <f t="shared" si="60"/>
        <v>0</v>
      </c>
      <c r="AU255" s="606">
        <f t="shared" si="60"/>
        <v>0</v>
      </c>
      <c r="AV255" s="606">
        <f t="shared" si="60"/>
        <v>0</v>
      </c>
      <c r="AW255" s="606">
        <f t="shared" si="60"/>
        <v>0</v>
      </c>
      <c r="AX255" s="607">
        <f t="shared" si="60"/>
        <v>0</v>
      </c>
    </row>
    <row r="256" spans="1:50" outlineLevel="1" x14ac:dyDescent="0.25">
      <c r="B256" s="588" t="s">
        <v>682</v>
      </c>
      <c r="C256" s="609">
        <v>-1.9E-2</v>
      </c>
      <c r="D256" s="604">
        <f>D235</f>
        <v>140.80000000000001</v>
      </c>
      <c r="E256" s="604">
        <f t="shared" ref="E256:AX256" si="61">D256*(1+$C256)</f>
        <v>138.12480000000002</v>
      </c>
      <c r="F256" s="604">
        <f t="shared" si="61"/>
        <v>135.50042880000001</v>
      </c>
      <c r="G256" s="604">
        <f t="shared" si="61"/>
        <v>132.92592065280002</v>
      </c>
      <c r="H256" s="604">
        <f t="shared" si="61"/>
        <v>130.40032816039681</v>
      </c>
      <c r="I256" s="604">
        <f t="shared" si="61"/>
        <v>127.92272192534926</v>
      </c>
      <c r="J256" s="604">
        <f t="shared" si="61"/>
        <v>125.49219020876762</v>
      </c>
      <c r="K256" s="604">
        <f t="shared" si="61"/>
        <v>123.10783859480104</v>
      </c>
      <c r="L256" s="604">
        <f t="shared" si="61"/>
        <v>120.76878966149981</v>
      </c>
      <c r="M256" s="604">
        <f t="shared" si="61"/>
        <v>118.47418265793131</v>
      </c>
      <c r="N256" s="604">
        <f t="shared" si="61"/>
        <v>116.22317318743062</v>
      </c>
      <c r="O256" s="604">
        <f t="shared" si="61"/>
        <v>114.01493289686944</v>
      </c>
      <c r="P256" s="604">
        <f t="shared" si="61"/>
        <v>111.84864917182892</v>
      </c>
      <c r="Q256" s="604">
        <f t="shared" si="61"/>
        <v>109.72352483756417</v>
      </c>
      <c r="R256" s="604">
        <f t="shared" si="61"/>
        <v>107.63877786565045</v>
      </c>
      <c r="S256" s="604">
        <f t="shared" si="61"/>
        <v>105.59364108620309</v>
      </c>
      <c r="T256" s="604">
        <f t="shared" si="61"/>
        <v>103.58736190556523</v>
      </c>
      <c r="U256" s="604">
        <f t="shared" si="61"/>
        <v>101.61920202935949</v>
      </c>
      <c r="V256" s="604">
        <f t="shared" si="61"/>
        <v>99.68843719080165</v>
      </c>
      <c r="W256" s="604">
        <f t="shared" si="61"/>
        <v>97.794356884176423</v>
      </c>
      <c r="X256" s="604">
        <f t="shared" si="61"/>
        <v>95.93626410337707</v>
      </c>
      <c r="Y256" s="604">
        <f t="shared" si="61"/>
        <v>94.113475085412901</v>
      </c>
      <c r="Z256" s="604">
        <f t="shared" si="61"/>
        <v>92.325319058790058</v>
      </c>
      <c r="AA256" s="604">
        <f t="shared" si="61"/>
        <v>90.571137996673045</v>
      </c>
      <c r="AB256" s="604">
        <f t="shared" si="61"/>
        <v>88.850286374736257</v>
      </c>
      <c r="AC256" s="604">
        <f t="shared" si="61"/>
        <v>87.162130933616268</v>
      </c>
      <c r="AD256" s="604">
        <f t="shared" si="61"/>
        <v>85.506050445877563</v>
      </c>
      <c r="AE256" s="604">
        <f t="shared" si="61"/>
        <v>83.881435487405881</v>
      </c>
      <c r="AF256" s="604">
        <f t="shared" si="61"/>
        <v>82.287688213145174</v>
      </c>
      <c r="AG256" s="604">
        <f t="shared" si="61"/>
        <v>80.72422213709541</v>
      </c>
      <c r="AH256" s="604">
        <f t="shared" si="61"/>
        <v>79.190461916490591</v>
      </c>
      <c r="AI256" s="604">
        <f t="shared" si="61"/>
        <v>77.685843140077267</v>
      </c>
      <c r="AJ256" s="604">
        <f t="shared" si="61"/>
        <v>76.209812120415805</v>
      </c>
      <c r="AK256" s="604">
        <f t="shared" si="61"/>
        <v>74.761825690127907</v>
      </c>
      <c r="AL256" s="604">
        <f t="shared" si="61"/>
        <v>73.341351002015472</v>
      </c>
      <c r="AM256" s="604">
        <f t="shared" si="61"/>
        <v>71.947865332977173</v>
      </c>
      <c r="AN256" s="604">
        <f t="shared" si="61"/>
        <v>70.5808558916506</v>
      </c>
      <c r="AO256" s="604">
        <f t="shared" si="61"/>
        <v>69.239819629709231</v>
      </c>
      <c r="AP256" s="604">
        <f t="shared" si="61"/>
        <v>67.924263056744749</v>
      </c>
      <c r="AQ256" s="604">
        <f t="shared" si="61"/>
        <v>66.6337020586666</v>
      </c>
      <c r="AR256" s="604">
        <f t="shared" si="61"/>
        <v>65.367661719551933</v>
      </c>
      <c r="AS256" s="604">
        <f t="shared" si="61"/>
        <v>64.125676146880451</v>
      </c>
      <c r="AT256" s="604">
        <f t="shared" si="61"/>
        <v>62.907288300089725</v>
      </c>
      <c r="AU256" s="604">
        <f t="shared" si="61"/>
        <v>61.712049822388018</v>
      </c>
      <c r="AV256" s="604">
        <f t="shared" si="61"/>
        <v>60.539520875762648</v>
      </c>
      <c r="AW256" s="604">
        <f t="shared" si="61"/>
        <v>59.389269979123156</v>
      </c>
      <c r="AX256" s="605">
        <f t="shared" si="61"/>
        <v>58.260873849519818</v>
      </c>
    </row>
    <row r="257" spans="1:50" outlineLevel="1" x14ac:dyDescent="0.25">
      <c r="B257" s="591" t="s">
        <v>683</v>
      </c>
      <c r="C257" s="609">
        <v>-8.0000000000000002E-3</v>
      </c>
      <c r="D257" s="606">
        <f>D236</f>
        <v>38.6</v>
      </c>
      <c r="E257" s="606">
        <f t="shared" ref="E257:AX257" si="62">D257*(1+$C257)</f>
        <v>38.291200000000003</v>
      </c>
      <c r="F257" s="606">
        <f t="shared" si="62"/>
        <v>37.984870400000005</v>
      </c>
      <c r="G257" s="606">
        <f t="shared" si="62"/>
        <v>37.680991436800007</v>
      </c>
      <c r="H257" s="606">
        <f t="shared" si="62"/>
        <v>37.379543505305605</v>
      </c>
      <c r="I257" s="606">
        <f t="shared" si="62"/>
        <v>37.080507157263163</v>
      </c>
      <c r="J257" s="606">
        <f t="shared" si="62"/>
        <v>36.783863100005057</v>
      </c>
      <c r="K257" s="606">
        <f t="shared" si="62"/>
        <v>36.489592195205013</v>
      </c>
      <c r="L257" s="606">
        <f t="shared" si="62"/>
        <v>36.197675457643371</v>
      </c>
      <c r="M257" s="606">
        <f t="shared" si="62"/>
        <v>35.908094053982225</v>
      </c>
      <c r="N257" s="606">
        <f t="shared" si="62"/>
        <v>35.620829301550366</v>
      </c>
      <c r="O257" s="606">
        <f t="shared" si="62"/>
        <v>35.33586266713796</v>
      </c>
      <c r="P257" s="606">
        <f t="shared" si="62"/>
        <v>35.053175765800859</v>
      </c>
      <c r="Q257" s="606">
        <f t="shared" si="62"/>
        <v>34.772750359674454</v>
      </c>
      <c r="R257" s="606">
        <f t="shared" si="62"/>
        <v>34.49456835679706</v>
      </c>
      <c r="S257" s="606">
        <f t="shared" si="62"/>
        <v>34.218611809942686</v>
      </c>
      <c r="T257" s="606">
        <f t="shared" si="62"/>
        <v>33.944862915463148</v>
      </c>
      <c r="U257" s="606">
        <f t="shared" si="62"/>
        <v>33.67330401213944</v>
      </c>
      <c r="V257" s="606">
        <f t="shared" si="62"/>
        <v>33.403917580042325</v>
      </c>
      <c r="W257" s="606">
        <f t="shared" si="62"/>
        <v>33.136686239401989</v>
      </c>
      <c r="X257" s="606">
        <f t="shared" si="62"/>
        <v>32.871592749486773</v>
      </c>
      <c r="Y257" s="606">
        <f t="shared" si="62"/>
        <v>32.608620007490877</v>
      </c>
      <c r="Z257" s="606">
        <f t="shared" si="62"/>
        <v>32.347751047430947</v>
      </c>
      <c r="AA257" s="606">
        <f t="shared" si="62"/>
        <v>32.088969039051499</v>
      </c>
      <c r="AB257" s="606">
        <f t="shared" si="62"/>
        <v>31.832257286739086</v>
      </c>
      <c r="AC257" s="606">
        <f t="shared" si="62"/>
        <v>31.577599228445173</v>
      </c>
      <c r="AD257" s="606">
        <f t="shared" si="62"/>
        <v>31.324978434617613</v>
      </c>
      <c r="AE257" s="606">
        <f t="shared" si="62"/>
        <v>31.074378607140673</v>
      </c>
      <c r="AF257" s="606">
        <f t="shared" si="62"/>
        <v>30.825783578283549</v>
      </c>
      <c r="AG257" s="606">
        <f t="shared" si="62"/>
        <v>30.579177309657279</v>
      </c>
      <c r="AH257" s="606">
        <f t="shared" si="62"/>
        <v>30.334543891180022</v>
      </c>
      <c r="AI257" s="606">
        <f t="shared" si="62"/>
        <v>30.091867540050583</v>
      </c>
      <c r="AJ257" s="606">
        <f t="shared" si="62"/>
        <v>29.851132599730178</v>
      </c>
      <c r="AK257" s="606">
        <f t="shared" si="62"/>
        <v>29.612323538932337</v>
      </c>
      <c r="AL257" s="606">
        <f t="shared" si="62"/>
        <v>29.375424950620879</v>
      </c>
      <c r="AM257" s="606">
        <f t="shared" si="62"/>
        <v>29.140421551015912</v>
      </c>
      <c r="AN257" s="606">
        <f t="shared" si="62"/>
        <v>28.907298178607785</v>
      </c>
      <c r="AO257" s="606">
        <f t="shared" si="62"/>
        <v>28.676039793178923</v>
      </c>
      <c r="AP257" s="606">
        <f t="shared" si="62"/>
        <v>28.446631474833492</v>
      </c>
      <c r="AQ257" s="606">
        <f t="shared" si="62"/>
        <v>28.219058423034824</v>
      </c>
      <c r="AR257" s="606">
        <f t="shared" si="62"/>
        <v>27.993305955650545</v>
      </c>
      <c r="AS257" s="606">
        <f t="shared" si="62"/>
        <v>27.769359508005341</v>
      </c>
      <c r="AT257" s="606">
        <f t="shared" si="62"/>
        <v>27.547204631941298</v>
      </c>
      <c r="AU257" s="606">
        <f t="shared" si="62"/>
        <v>27.326826994885767</v>
      </c>
      <c r="AV257" s="606">
        <f t="shared" si="62"/>
        <v>27.10821237892668</v>
      </c>
      <c r="AW257" s="606">
        <f t="shared" si="62"/>
        <v>26.891346679895268</v>
      </c>
      <c r="AX257" s="607">
        <f t="shared" si="62"/>
        <v>26.676215906456104</v>
      </c>
    </row>
    <row r="258" spans="1:50" outlineLevel="1" x14ac:dyDescent="0.25"/>
    <row r="259" spans="1:50" outlineLevel="1" x14ac:dyDescent="0.25">
      <c r="B259" s="292" t="s">
        <v>703</v>
      </c>
    </row>
    <row r="260" spans="1:50" outlineLevel="1" x14ac:dyDescent="0.25">
      <c r="B260" s="610"/>
      <c r="C260" s="446"/>
      <c r="D260" s="600">
        <v>2024</v>
      </c>
      <c r="E260" s="600">
        <v>2025</v>
      </c>
      <c r="F260" s="600">
        <v>2026</v>
      </c>
      <c r="G260" s="600">
        <v>2027</v>
      </c>
      <c r="H260" s="600">
        <v>2028</v>
      </c>
      <c r="I260" s="600">
        <v>2029</v>
      </c>
      <c r="J260" s="600">
        <v>2030</v>
      </c>
      <c r="K260" s="600">
        <v>2031</v>
      </c>
      <c r="L260" s="600">
        <v>2032</v>
      </c>
      <c r="M260" s="600">
        <v>2033</v>
      </c>
      <c r="N260" s="600">
        <v>2034</v>
      </c>
      <c r="O260" s="600">
        <v>2035</v>
      </c>
      <c r="P260" s="600">
        <v>2036</v>
      </c>
      <c r="Q260" s="600">
        <v>2037</v>
      </c>
      <c r="R260" s="600">
        <v>2038</v>
      </c>
      <c r="S260" s="600">
        <v>2039</v>
      </c>
      <c r="T260" s="600">
        <v>2040</v>
      </c>
      <c r="U260" s="600">
        <v>2041</v>
      </c>
      <c r="V260" s="600">
        <v>2042</v>
      </c>
      <c r="W260" s="600">
        <v>2043</v>
      </c>
      <c r="X260" s="600">
        <v>2044</v>
      </c>
      <c r="Y260" s="600">
        <v>2045</v>
      </c>
      <c r="Z260" s="600">
        <v>2046</v>
      </c>
      <c r="AA260" s="600">
        <v>2047</v>
      </c>
      <c r="AB260" s="600">
        <v>2048</v>
      </c>
      <c r="AC260" s="600">
        <v>2049</v>
      </c>
      <c r="AD260" s="600">
        <v>2050</v>
      </c>
      <c r="AE260" s="600">
        <v>2051</v>
      </c>
      <c r="AF260" s="600">
        <v>2052</v>
      </c>
      <c r="AG260" s="600">
        <v>2053</v>
      </c>
      <c r="AH260" s="600">
        <v>2054</v>
      </c>
      <c r="AI260" s="600">
        <v>2055</v>
      </c>
      <c r="AJ260" s="600">
        <v>2056</v>
      </c>
      <c r="AK260" s="600">
        <v>2057</v>
      </c>
      <c r="AL260" s="600">
        <v>2058</v>
      </c>
      <c r="AM260" s="600">
        <v>2059</v>
      </c>
      <c r="AN260" s="600">
        <v>2060</v>
      </c>
      <c r="AO260" s="600">
        <v>2061</v>
      </c>
      <c r="AP260" s="600">
        <v>2062</v>
      </c>
      <c r="AQ260" s="600">
        <v>2063</v>
      </c>
      <c r="AR260" s="600">
        <v>2064</v>
      </c>
      <c r="AS260" s="600">
        <v>2065</v>
      </c>
      <c r="AT260" s="600">
        <v>2066</v>
      </c>
      <c r="AU260" s="600">
        <v>2067</v>
      </c>
      <c r="AV260" s="600">
        <v>2068</v>
      </c>
      <c r="AW260" s="600">
        <v>2069</v>
      </c>
      <c r="AX260" s="601">
        <v>2070</v>
      </c>
    </row>
    <row r="261" spans="1:50" outlineLevel="1" x14ac:dyDescent="0.25">
      <c r="B261" s="613" t="s">
        <v>704</v>
      </c>
      <c r="C261" s="614" t="s">
        <v>656</v>
      </c>
      <c r="D261" s="604">
        <f t="shared" ref="D261:AX261" si="63">SUMPRODUCT(D241:D244,C$225:C$228)</f>
        <v>6.5939406026219238</v>
      </c>
      <c r="E261" s="604">
        <f t="shared" si="63"/>
        <v>6.1857773180657256</v>
      </c>
      <c r="F261" s="604">
        <f t="shared" si="63"/>
        <v>5.7855472084703701</v>
      </c>
      <c r="G261" s="604">
        <f t="shared" si="63"/>
        <v>5.3931337114691482</v>
      </c>
      <c r="H261" s="604">
        <f t="shared" si="63"/>
        <v>5.0084216363899721</v>
      </c>
      <c r="I261" s="604">
        <f t="shared" si="63"/>
        <v>4.6312971534994558</v>
      </c>
      <c r="J261" s="604">
        <f t="shared" si="63"/>
        <v>4.2616477832065689</v>
      </c>
      <c r="K261" s="604">
        <f t="shared" si="63"/>
        <v>3.8993623852302117</v>
      </c>
      <c r="L261" s="604">
        <f t="shared" si="63"/>
        <v>3.5443311477350203</v>
      </c>
      <c r="M261" s="604">
        <f t="shared" si="63"/>
        <v>3.1964455764395083</v>
      </c>
      <c r="N261" s="604">
        <f t="shared" si="63"/>
        <v>2.8555984837005659</v>
      </c>
      <c r="O261" s="604">
        <f t="shared" si="63"/>
        <v>2.5216839775781885</v>
      </c>
      <c r="P261" s="604">
        <f t="shared" si="63"/>
        <v>2.3883661702228518</v>
      </c>
      <c r="Q261" s="604">
        <f t="shared" si="63"/>
        <v>2.2582678739161142</v>
      </c>
      <c r="R261" s="604">
        <f t="shared" si="63"/>
        <v>2.1313236636442312</v>
      </c>
      <c r="S261" s="604">
        <f t="shared" si="63"/>
        <v>2.0074693609731931</v>
      </c>
      <c r="T261" s="604">
        <f t="shared" si="63"/>
        <v>1.8866420109147257</v>
      </c>
      <c r="U261" s="604">
        <f t="shared" si="63"/>
        <v>1.768779859217217</v>
      </c>
      <c r="V261" s="604">
        <f t="shared" si="63"/>
        <v>1.6538223300738044</v>
      </c>
      <c r="W261" s="604">
        <f t="shared" si="63"/>
        <v>1.5417100042399821</v>
      </c>
      <c r="X261" s="604">
        <f t="shared" si="63"/>
        <v>1.4323845975532321</v>
      </c>
      <c r="Y261" s="604">
        <f t="shared" si="63"/>
        <v>1.3257889398473164</v>
      </c>
      <c r="Z261" s="604">
        <f t="shared" si="63"/>
        <v>1.2218669542540113</v>
      </c>
      <c r="AA261" s="604">
        <f t="shared" si="63"/>
        <v>1.1205636368851839</v>
      </c>
      <c r="AB261" s="604">
        <f t="shared" si="63"/>
        <v>1.0218250368882538</v>
      </c>
      <c r="AC261" s="604">
        <f t="shared" si="63"/>
        <v>0.92559823686819842</v>
      </c>
      <c r="AD261" s="604">
        <f t="shared" si="63"/>
        <v>0.83183133366939632</v>
      </c>
      <c r="AE261" s="604">
        <f t="shared" si="63"/>
        <v>0.78984991000085381</v>
      </c>
      <c r="AF261" s="604">
        <f t="shared" si="63"/>
        <v>0.74791137060066937</v>
      </c>
      <c r="AG261" s="604">
        <f t="shared" si="63"/>
        <v>0.70601539896652743</v>
      </c>
      <c r="AH261" s="604">
        <f t="shared" si="63"/>
        <v>0.6641616806890287</v>
      </c>
      <c r="AI261" s="604">
        <f t="shared" si="63"/>
        <v>0.62234990343867447</v>
      </c>
      <c r="AJ261" s="604">
        <f t="shared" si="63"/>
        <v>0.58057975695292607</v>
      </c>
      <c r="AK261" s="604">
        <f t="shared" si="63"/>
        <v>0.5388509330233453</v>
      </c>
      <c r="AL261" s="604">
        <f t="shared" si="63"/>
        <v>0.49716312548280894</v>
      </c>
      <c r="AM261" s="604">
        <f t="shared" si="63"/>
        <v>0.45551603019280118</v>
      </c>
      <c r="AN261" s="604">
        <f t="shared" si="63"/>
        <v>0.41390934503078153</v>
      </c>
      <c r="AO261" s="604">
        <f t="shared" si="63"/>
        <v>0.37234276987762871</v>
      </c>
      <c r="AP261" s="604">
        <f t="shared" si="63"/>
        <v>0.33081600660515953</v>
      </c>
      <c r="AQ261" s="604">
        <f t="shared" si="63"/>
        <v>0.28932875906372224</v>
      </c>
      <c r="AR261" s="604">
        <f t="shared" si="63"/>
        <v>0.24788073306986477</v>
      </c>
      <c r="AS261" s="604">
        <f t="shared" si="63"/>
        <v>0.20647163639407615</v>
      </c>
      <c r="AT261" s="604">
        <f t="shared" si="63"/>
        <v>0.16510117874860189</v>
      </c>
      <c r="AU261" s="604">
        <f t="shared" si="63"/>
        <v>0.12376907177533214</v>
      </c>
      <c r="AV261" s="604">
        <f t="shared" si="63"/>
        <v>8.2475029033762318E-2</v>
      </c>
      <c r="AW261" s="604">
        <f t="shared" si="63"/>
        <v>4.1218765989026136E-2</v>
      </c>
      <c r="AX261" s="605">
        <f t="shared" si="63"/>
        <v>0</v>
      </c>
    </row>
    <row r="262" spans="1:50" outlineLevel="1" x14ac:dyDescent="0.25">
      <c r="B262" s="619" t="s">
        <v>705</v>
      </c>
      <c r="C262" s="620" t="s">
        <v>693</v>
      </c>
      <c r="D262" s="606">
        <f t="shared" ref="D262:AX262" si="64">SUMPRODUCT(D247:D250,C$225:C$228)</f>
        <v>2.4360404442073613</v>
      </c>
      <c r="E262" s="606">
        <f t="shared" si="64"/>
        <v>3.2958944370302117</v>
      </c>
      <c r="F262" s="606">
        <f t="shared" si="64"/>
        <v>4.152988050453712</v>
      </c>
      <c r="G262" s="606">
        <f t="shared" si="64"/>
        <v>5.0073244383365907</v>
      </c>
      <c r="H262" s="606">
        <f t="shared" si="64"/>
        <v>5.8589067802265697</v>
      </c>
      <c r="I262" s="606">
        <f t="shared" si="64"/>
        <v>6.7077382810835697</v>
      </c>
      <c r="J262" s="606">
        <f t="shared" si="64"/>
        <v>7.5538221710048523</v>
      </c>
      <c r="K262" s="606">
        <f t="shared" si="64"/>
        <v>8.3971617049520901</v>
      </c>
      <c r="L262" s="606">
        <f t="shared" si="64"/>
        <v>9.2377601624803454</v>
      </c>
      <c r="M262" s="606">
        <f t="shared" si="64"/>
        <v>10.075620847468951</v>
      </c>
      <c r="N262" s="606">
        <f t="shared" si="64"/>
        <v>10.91074708785429</v>
      </c>
      <c r="O262" s="606">
        <f t="shared" si="64"/>
        <v>11.743142235364436</v>
      </c>
      <c r="P262" s="606">
        <f t="shared" si="64"/>
        <v>12.04642091369055</v>
      </c>
      <c r="Q262" s="606">
        <f t="shared" si="64"/>
        <v>12.348447187240897</v>
      </c>
      <c r="R262" s="606">
        <f t="shared" si="64"/>
        <v>12.649224814107336</v>
      </c>
      <c r="S262" s="606">
        <f t="shared" si="64"/>
        <v>12.948757542551036</v>
      </c>
      <c r="T262" s="606">
        <f t="shared" si="64"/>
        <v>13.247049111025815</v>
      </c>
      <c r="U262" s="606">
        <f t="shared" si="64"/>
        <v>13.544103248201411</v>
      </c>
      <c r="V262" s="606">
        <f t="shared" si="64"/>
        <v>13.839923672986727</v>
      </c>
      <c r="W262" s="606">
        <f t="shared" si="64"/>
        <v>14.134514094552998</v>
      </c>
      <c r="X262" s="606">
        <f t="shared" si="64"/>
        <v>14.427878212356937</v>
      </c>
      <c r="Y262" s="606">
        <f t="shared" si="64"/>
        <v>14.720019716163813</v>
      </c>
      <c r="Z262" s="606">
        <f t="shared" si="64"/>
        <v>15.010942286070492</v>
      </c>
      <c r="AA262" s="606">
        <f t="shared" si="64"/>
        <v>15.300649592528417</v>
      </c>
      <c r="AB262" s="606">
        <f t="shared" si="64"/>
        <v>15.589145296366558</v>
      </c>
      <c r="AC262" s="606">
        <f t="shared" si="64"/>
        <v>15.87643304881429</v>
      </c>
      <c r="AD262" s="606">
        <f t="shared" si="64"/>
        <v>16.162516491524229</v>
      </c>
      <c r="AE262" s="606">
        <f t="shared" si="64"/>
        <v>16.280174750427765</v>
      </c>
      <c r="AF262" s="606">
        <f t="shared" si="64"/>
        <v>16.397541199762316</v>
      </c>
      <c r="AG262" s="606">
        <f t="shared" si="64"/>
        <v>16.514614964244245</v>
      </c>
      <c r="AH262" s="606">
        <f t="shared" si="64"/>
        <v>16.63139518289033</v>
      </c>
      <c r="AI262" s="606">
        <f t="shared" si="64"/>
        <v>16.747881008907065</v>
      </c>
      <c r="AJ262" s="606">
        <f t="shared" si="64"/>
        <v>16.864071609580613</v>
      </c>
      <c r="AK262" s="606">
        <f t="shared" si="64"/>
        <v>16.979966166167547</v>
      </c>
      <c r="AL262" s="606">
        <f t="shared" si="64"/>
        <v>17.09556387378624</v>
      </c>
      <c r="AM262" s="606">
        <f t="shared" si="64"/>
        <v>17.210863941308961</v>
      </c>
      <c r="AN262" s="606">
        <f t="shared" si="64"/>
        <v>17.325865591254722</v>
      </c>
      <c r="AO262" s="606">
        <f t="shared" si="64"/>
        <v>17.440568059682747</v>
      </c>
      <c r="AP262" s="606">
        <f t="shared" si="64"/>
        <v>17.554970596086683</v>
      </c>
      <c r="AQ262" s="606">
        <f t="shared" si="64"/>
        <v>17.669072463289467</v>
      </c>
      <c r="AR262" s="606">
        <f t="shared" si="64"/>
        <v>17.782872937338905</v>
      </c>
      <c r="AS262" s="606">
        <f t="shared" si="64"/>
        <v>17.896371307403882</v>
      </c>
      <c r="AT262" s="606">
        <f t="shared" si="64"/>
        <v>18.0095668756713</v>
      </c>
      <c r="AU262" s="606">
        <f t="shared" si="64"/>
        <v>18.122458957243634</v>
      </c>
      <c r="AV262" s="606">
        <f t="shared" si="64"/>
        <v>18.235046880037203</v>
      </c>
      <c r="AW262" s="606">
        <f t="shared" si="64"/>
        <v>18.347329984681053</v>
      </c>
      <c r="AX262" s="607">
        <f t="shared" si="64"/>
        <v>18.459307624416525</v>
      </c>
    </row>
    <row r="263" spans="1:50" outlineLevel="1" x14ac:dyDescent="0.25">
      <c r="B263" s="613" t="s">
        <v>706</v>
      </c>
      <c r="C263" s="614" t="s">
        <v>692</v>
      </c>
      <c r="D263" s="615">
        <f>SUMPRODUCT(D254:D257,C$225:C$228)*(1+$C$267)</f>
        <v>176.86016007144821</v>
      </c>
      <c r="E263" s="604">
        <f t="shared" ref="E263:AX263" si="65">SUMPRODUCT(E254:E257,D$225:D$228)*(1+$C$267)</f>
        <v>165.75635428416402</v>
      </c>
      <c r="F263" s="604">
        <f t="shared" si="65"/>
        <v>154.86440878847588</v>
      </c>
      <c r="G263" s="604">
        <f t="shared" si="65"/>
        <v>144.18145850596596</v>
      </c>
      <c r="H263" s="604">
        <f t="shared" si="65"/>
        <v>133.70466319313624</v>
      </c>
      <c r="I263" s="604">
        <f t="shared" si="65"/>
        <v>123.43120754618174</v>
      </c>
      <c r="J263" s="604">
        <f t="shared" si="65"/>
        <v>113.35830129354936</v>
      </c>
      <c r="K263" s="604">
        <f t="shared" si="65"/>
        <v>103.4831792766896</v>
      </c>
      <c r="L263" s="604">
        <f t="shared" si="65"/>
        <v>93.803101519397075</v>
      </c>
      <c r="M263" s="604">
        <f t="shared" si="65"/>
        <v>84.315353286125131</v>
      </c>
      <c r="N263" s="604">
        <f t="shared" si="65"/>
        <v>75.017245129650604</v>
      </c>
      <c r="O263" s="604">
        <f t="shared" si="65"/>
        <v>65.906112928453879</v>
      </c>
      <c r="P263" s="604">
        <f t="shared" si="65"/>
        <v>62.376633632619949</v>
      </c>
      <c r="Q263" s="604">
        <f t="shared" si="65"/>
        <v>58.935824887610892</v>
      </c>
      <c r="R263" s="604">
        <f t="shared" si="65"/>
        <v>55.581768118932636</v>
      </c>
      <c r="S263" s="604">
        <f t="shared" si="65"/>
        <v>52.312584528265681</v>
      </c>
      <c r="T263" s="604">
        <f t="shared" si="65"/>
        <v>49.126434275959184</v>
      </c>
      <c r="U263" s="604">
        <f t="shared" si="65"/>
        <v>46.021515680359514</v>
      </c>
      <c r="V263" s="604">
        <f t="shared" si="65"/>
        <v>42.996064433625193</v>
      </c>
      <c r="W263" s="604">
        <f t="shared" si="65"/>
        <v>40.048352833687687</v>
      </c>
      <c r="X263" s="604">
        <f t="shared" si="65"/>
        <v>37.1766890320242</v>
      </c>
      <c r="Y263" s="604">
        <f t="shared" si="65"/>
        <v>34.379416296916126</v>
      </c>
      <c r="Z263" s="604">
        <f t="shared" si="65"/>
        <v>31.654912291872876</v>
      </c>
      <c r="AA263" s="604">
        <f t="shared" si="65"/>
        <v>29.001588368907978</v>
      </c>
      <c r="AB263" s="604">
        <f t="shared" si="65"/>
        <v>26.417888876360529</v>
      </c>
      <c r="AC263" s="604">
        <f t="shared" si="65"/>
        <v>23.902290480961597</v>
      </c>
      <c r="AD263" s="604">
        <f t="shared" si="65"/>
        <v>21.453301503851268</v>
      </c>
      <c r="AE263" s="604">
        <f t="shared" si="65"/>
        <v>20.109318762628693</v>
      </c>
      <c r="AF263" s="604">
        <f t="shared" si="65"/>
        <v>18.797535537625652</v>
      </c>
      <c r="AG263" s="604">
        <f t="shared" si="65"/>
        <v>17.517293428862697</v>
      </c>
      <c r="AH263" s="604">
        <f t="shared" si="65"/>
        <v>16.267946995335532</v>
      </c>
      <c r="AI263" s="604">
        <f t="shared" si="65"/>
        <v>15.048863499972949</v>
      </c>
      <c r="AJ263" s="604">
        <f t="shared" si="65"/>
        <v>13.859422659673072</v>
      </c>
      <c r="AK263" s="604">
        <f t="shared" si="65"/>
        <v>12.699016400315516</v>
      </c>
      <c r="AL263" s="604">
        <f t="shared" si="65"/>
        <v>11.567048616649148</v>
      </c>
      <c r="AM263" s="604">
        <f t="shared" si="65"/>
        <v>10.462934936957161</v>
      </c>
      <c r="AN263" s="604">
        <f t="shared" si="65"/>
        <v>9.3861024924032286</v>
      </c>
      <c r="AO263" s="604">
        <f t="shared" si="65"/>
        <v>8.3359896909643876</v>
      </c>
      <c r="AP263" s="604">
        <f t="shared" si="65"/>
        <v>7.3120459958582842</v>
      </c>
      <c r="AQ263" s="604">
        <f t="shared" si="65"/>
        <v>6.3137317083742435</v>
      </c>
      <c r="AR263" s="604">
        <f t="shared" si="65"/>
        <v>5.3405177550195333</v>
      </c>
      <c r="AS263" s="604">
        <f t="shared" si="65"/>
        <v>4.3918854788938955</v>
      </c>
      <c r="AT263" s="604">
        <f t="shared" si="65"/>
        <v>3.4673264352072812</v>
      </c>
      <c r="AU263" s="604">
        <f t="shared" si="65"/>
        <v>2.5663421908574087</v>
      </c>
      <c r="AV263" s="604">
        <f t="shared" si="65"/>
        <v>1.6884441279854565</v>
      </c>
      <c r="AW263" s="604">
        <f t="shared" si="65"/>
        <v>0.83315325142988839</v>
      </c>
      <c r="AX263" s="605">
        <f t="shared" si="65"/>
        <v>0</v>
      </c>
    </row>
    <row r="264" spans="1:50" outlineLevel="1" x14ac:dyDescent="0.25">
      <c r="B264" s="619" t="s">
        <v>707</v>
      </c>
      <c r="C264" s="620" t="s">
        <v>708</v>
      </c>
      <c r="D264" s="592">
        <v>3130</v>
      </c>
      <c r="E264" s="592">
        <f>$D$264-$D$265+E265</f>
        <v>3130</v>
      </c>
      <c r="F264" s="592">
        <f t="shared" ref="F264:I264" si="66">$D$264-$D$265+F265</f>
        <v>3130</v>
      </c>
      <c r="G264" s="592">
        <f t="shared" si="66"/>
        <v>3127.6214285714286</v>
      </c>
      <c r="H264" s="592">
        <f t="shared" si="66"/>
        <v>3121.7607142857141</v>
      </c>
      <c r="I264" s="592">
        <f t="shared" si="66"/>
        <v>3115.9</v>
      </c>
      <c r="J264" s="592">
        <f t="shared" ref="J264" si="67">$D$264-$D$265+J265</f>
        <v>2950.7677292847375</v>
      </c>
      <c r="K264" s="592">
        <f t="shared" ref="K264" si="68">$D$264-$D$265+K265</f>
        <v>2897.7137376880983</v>
      </c>
      <c r="L264" s="592">
        <f t="shared" ref="L264" si="69">$D$264-$D$265+L265</f>
        <v>2894.2315948309556</v>
      </c>
      <c r="M264" s="592">
        <f t="shared" ref="M264" si="70">$D$264-$D$265+M265</f>
        <v>2890.7494519738129</v>
      </c>
      <c r="N264" s="592">
        <f t="shared" ref="N264" si="71">$D$264-$D$265+N265</f>
        <v>2887.2673091166698</v>
      </c>
      <c r="O264" s="592">
        <f t="shared" ref="O264" si="72">$D$264-$D$265+O265</f>
        <v>2883.7851662595267</v>
      </c>
      <c r="P264" s="592">
        <f t="shared" ref="P264" si="73">$D$264-$D$265+P265</f>
        <v>2571.7057697014852</v>
      </c>
      <c r="Q264" s="592">
        <f t="shared" ref="Q264" si="74">$D$264-$D$265+Q265</f>
        <v>2568.2236268443421</v>
      </c>
      <c r="R264" s="592">
        <f t="shared" ref="R264" si="75">$D$264-$D$265+R265</f>
        <v>2522.9557697014852</v>
      </c>
      <c r="S264" s="592">
        <f t="shared" ref="S264" si="76">$D$264-$D$265+S265</f>
        <v>2383.3968904448407</v>
      </c>
      <c r="T264" s="592">
        <f t="shared" ref="T264" si="77">$D$264-$D$265+T265</f>
        <v>2383.3968904448407</v>
      </c>
      <c r="U264" s="592">
        <f t="shared" ref="U264" si="78">$D$264-$D$265+U265</f>
        <v>2383.3968904448407</v>
      </c>
      <c r="V264" s="592">
        <f t="shared" ref="V264" si="79">$D$264-$D$265+V265</f>
        <v>2361.6120897803885</v>
      </c>
      <c r="W264" s="592">
        <f t="shared" ref="W264" si="80">$D$264-$D$265+W265</f>
        <v>2361.6120897803885</v>
      </c>
      <c r="X264" s="592">
        <f t="shared" ref="X264" si="81">$D$264-$D$265+X265</f>
        <v>2358.2082146765679</v>
      </c>
      <c r="Y264" s="592">
        <f t="shared" ref="Y264" si="82">$D$264-$D$265+Y265</f>
        <v>2358.2082146765679</v>
      </c>
      <c r="Z264" s="592">
        <f t="shared" ref="Z264" si="83">$D$264-$D$265+Z265</f>
        <v>2312.460133281219</v>
      </c>
      <c r="AA264" s="592">
        <f t="shared" ref="AA264" si="84">$D$264-$D$265+AA265</f>
        <v>2312.460133281219</v>
      </c>
      <c r="AB264" s="592">
        <f t="shared" ref="AB264" si="85">$D$264-$D$265+AB265</f>
        <v>2312.460133281219</v>
      </c>
      <c r="AC264" s="592">
        <f t="shared" ref="AC264" si="86">$D$264-$D$265+AC265</f>
        <v>2312.460133281219</v>
      </c>
      <c r="AD264" s="592">
        <f t="shared" ref="AD264" si="87">$D$264-$D$265+AD265</f>
        <v>2287.9522325337111</v>
      </c>
      <c r="AE264" s="433"/>
      <c r="AF264" s="433"/>
      <c r="AG264" s="433"/>
      <c r="AH264" s="433"/>
      <c r="AI264" s="433"/>
      <c r="AJ264" s="433"/>
      <c r="AK264" s="433"/>
      <c r="AL264" s="433"/>
      <c r="AM264" s="433"/>
      <c r="AN264" s="433"/>
      <c r="AO264" s="433"/>
      <c r="AP264" s="433"/>
      <c r="AQ264" s="433"/>
      <c r="AR264" s="433"/>
      <c r="AS264" s="433"/>
      <c r="AT264" s="433"/>
      <c r="AU264" s="433"/>
      <c r="AV264" s="433"/>
      <c r="AW264" s="433"/>
      <c r="AX264" s="502"/>
    </row>
    <row r="265" spans="1:50" outlineLevel="1" x14ac:dyDescent="0.25">
      <c r="B265" s="613" t="s">
        <v>709</v>
      </c>
      <c r="C265" s="614" t="s">
        <v>708</v>
      </c>
      <c r="D265" s="589">
        <f>C293</f>
        <v>1835.2941176470586</v>
      </c>
      <c r="E265" s="589">
        <f t="shared" ref="E265:I265" si="88">D293</f>
        <v>1835.2941176470586</v>
      </c>
      <c r="F265" s="589">
        <f t="shared" si="88"/>
        <v>1835.2941176470586</v>
      </c>
      <c r="G265" s="589">
        <f t="shared" si="88"/>
        <v>1832.9155462184872</v>
      </c>
      <c r="H265" s="589">
        <f t="shared" si="88"/>
        <v>1827.0548319327729</v>
      </c>
      <c r="I265" s="589">
        <f t="shared" si="88"/>
        <v>1821.1941176470586</v>
      </c>
      <c r="J265" s="589">
        <f t="shared" ref="J265:AD265" si="89">I293</f>
        <v>1656.0618469317958</v>
      </c>
      <c r="K265" s="589">
        <f t="shared" si="89"/>
        <v>1603.007855335157</v>
      </c>
      <c r="L265" s="589">
        <f t="shared" si="89"/>
        <v>1599.5257124780142</v>
      </c>
      <c r="M265" s="589">
        <f t="shared" si="89"/>
        <v>1596.0435696208713</v>
      </c>
      <c r="N265" s="589">
        <f t="shared" si="89"/>
        <v>1592.5614267637284</v>
      </c>
      <c r="O265" s="589">
        <f t="shared" si="89"/>
        <v>1589.0792839065855</v>
      </c>
      <c r="P265" s="589">
        <f t="shared" si="89"/>
        <v>1276.9998873485438</v>
      </c>
      <c r="Q265" s="589">
        <f t="shared" si="89"/>
        <v>1273.5177444914009</v>
      </c>
      <c r="R265" s="589">
        <f t="shared" si="89"/>
        <v>1228.2498873485438</v>
      </c>
      <c r="S265" s="589">
        <f t="shared" si="89"/>
        <v>1088.6910080918992</v>
      </c>
      <c r="T265" s="589">
        <f t="shared" si="89"/>
        <v>1088.6910080918992</v>
      </c>
      <c r="U265" s="589">
        <f t="shared" si="89"/>
        <v>1088.6910080918992</v>
      </c>
      <c r="V265" s="589">
        <f t="shared" si="89"/>
        <v>1066.9062074274473</v>
      </c>
      <c r="W265" s="589">
        <f t="shared" si="89"/>
        <v>1066.9062074274473</v>
      </c>
      <c r="X265" s="589">
        <f t="shared" si="89"/>
        <v>1063.5023323236267</v>
      </c>
      <c r="Y265" s="589">
        <f t="shared" si="89"/>
        <v>1063.5023323236267</v>
      </c>
      <c r="Z265" s="589">
        <f t="shared" si="89"/>
        <v>1017.7542509282778</v>
      </c>
      <c r="AA265" s="589">
        <f t="shared" si="89"/>
        <v>1017.7542509282778</v>
      </c>
      <c r="AB265" s="589">
        <f t="shared" si="89"/>
        <v>1017.7542509282778</v>
      </c>
      <c r="AC265" s="589">
        <f t="shared" si="89"/>
        <v>1017.7542509282778</v>
      </c>
      <c r="AD265" s="589">
        <f t="shared" si="89"/>
        <v>993.2463501807697</v>
      </c>
      <c r="AE265" s="433"/>
      <c r="AF265" s="433"/>
      <c r="AG265" s="433"/>
      <c r="AH265" s="433"/>
      <c r="AI265" s="433"/>
      <c r="AJ265" s="433"/>
      <c r="AK265" s="433"/>
      <c r="AL265" s="433"/>
      <c r="AM265" s="433"/>
      <c r="AN265" s="433"/>
      <c r="AO265" s="433"/>
      <c r="AP265" s="433"/>
      <c r="AQ265" s="433"/>
      <c r="AR265" s="433"/>
      <c r="AS265" s="433"/>
      <c r="AT265" s="433"/>
      <c r="AU265" s="433"/>
      <c r="AV265" s="433"/>
      <c r="AW265" s="433"/>
      <c r="AX265" s="502"/>
    </row>
    <row r="266" spans="1:50" outlineLevel="1" x14ac:dyDescent="0.25">
      <c r="A266" s="612"/>
      <c r="B266" s="621" t="s">
        <v>710</v>
      </c>
      <c r="C266" s="622" t="s">
        <v>711</v>
      </c>
      <c r="D266" s="623">
        <f t="shared" ref="D266:AD266" si="90">D264*D263/1000</f>
        <v>553.57230102363292</v>
      </c>
      <c r="E266" s="623">
        <f t="shared" si="90"/>
        <v>518.81738890943336</v>
      </c>
      <c r="F266" s="623">
        <f t="shared" si="90"/>
        <v>484.72559950792953</v>
      </c>
      <c r="G266" s="623">
        <f t="shared" si="90"/>
        <v>450.94501922594145</v>
      </c>
      <c r="H266" s="623">
        <f t="shared" si="90"/>
        <v>417.39396487313587</v>
      </c>
      <c r="I266" s="623">
        <f t="shared" si="90"/>
        <v>384.59929959314769</v>
      </c>
      <c r="J266" s="623">
        <f t="shared" si="90"/>
        <v>334.4940173035418</v>
      </c>
      <c r="K266" s="623">
        <f t="shared" si="90"/>
        <v>299.86463020970376</v>
      </c>
      <c r="L266" s="623">
        <f t="shared" si="90"/>
        <v>271.48790011057463</v>
      </c>
      <c r="M266" s="623">
        <f t="shared" si="90"/>
        <v>243.73456130484465</v>
      </c>
      <c r="N266" s="623">
        <f t="shared" si="90"/>
        <v>216.5948394828319</v>
      </c>
      <c r="O266" s="623">
        <f t="shared" si="90"/>
        <v>190.05907082890053</v>
      </c>
      <c r="P266" s="623">
        <f t="shared" si="90"/>
        <v>160.41434860756442</v>
      </c>
      <c r="Q266" s="623">
        <f t="shared" si="90"/>
        <v>151.36037794392308</v>
      </c>
      <c r="R266" s="623">
        <f t="shared" si="90"/>
        <v>140.23034256587115</v>
      </c>
      <c r="S266" s="623">
        <f t="shared" si="90"/>
        <v>124.6816512958013</v>
      </c>
      <c r="T266" s="623">
        <f t="shared" si="90"/>
        <v>117.08779069196395</v>
      </c>
      <c r="U266" s="623">
        <f t="shared" si="90"/>
        <v>109.68753736612733</v>
      </c>
      <c r="V266" s="623">
        <f t="shared" si="90"/>
        <v>101.54002557942583</v>
      </c>
      <c r="W266" s="617">
        <f t="shared" si="90"/>
        <v>94.57867422782752</v>
      </c>
      <c r="X266" s="617">
        <f t="shared" si="90"/>
        <v>87.67037346979572</v>
      </c>
      <c r="Y266" s="617">
        <f t="shared" si="90"/>
        <v>81.073821927173071</v>
      </c>
      <c r="Z266" s="617">
        <f t="shared" si="90"/>
        <v>73.200722697469658</v>
      </c>
      <c r="AA266" s="617">
        <f t="shared" si="90"/>
        <v>67.065016904931994</v>
      </c>
      <c r="AB266" s="617">
        <f t="shared" si="90"/>
        <v>61.090314832037102</v>
      </c>
      <c r="AC266" s="617">
        <f t="shared" si="90"/>
        <v>55.273093831330868</v>
      </c>
      <c r="AD266" s="618">
        <f t="shared" si="90"/>
        <v>49.084129070955328</v>
      </c>
    </row>
    <row r="267" spans="1:50" outlineLevel="1" x14ac:dyDescent="0.25">
      <c r="B267" s="619" t="s">
        <v>712</v>
      </c>
      <c r="C267" s="616">
        <v>0.19</v>
      </c>
    </row>
    <row r="269" spans="1:50" x14ac:dyDescent="0.25">
      <c r="B269" s="512" t="s">
        <v>713</v>
      </c>
    </row>
    <row r="270" spans="1:50" outlineLevel="1" x14ac:dyDescent="0.25"/>
    <row r="271" spans="1:50" ht="27" outlineLevel="1" x14ac:dyDescent="0.25">
      <c r="B271" s="286"/>
      <c r="C271" s="286" t="s">
        <v>714</v>
      </c>
      <c r="D271" s="93" t="s">
        <v>715</v>
      </c>
      <c r="E271" s="93" t="s">
        <v>716</v>
      </c>
      <c r="F271" s="93" t="s">
        <v>717</v>
      </c>
      <c r="G271" s="93" t="s">
        <v>718</v>
      </c>
      <c r="H271" s="299" t="s">
        <v>719</v>
      </c>
    </row>
    <row r="272" spans="1:50" outlineLevel="1" x14ac:dyDescent="0.25">
      <c r="B272" s="293" t="s">
        <v>720</v>
      </c>
      <c r="C272" s="96">
        <v>557</v>
      </c>
      <c r="D272" s="96">
        <v>74</v>
      </c>
      <c r="E272" s="98">
        <v>111</v>
      </c>
      <c r="F272" s="98">
        <v>34</v>
      </c>
      <c r="G272" s="98">
        <v>900</v>
      </c>
      <c r="H272" s="98">
        <f>G272/D272</f>
        <v>12.162162162162161</v>
      </c>
    </row>
    <row r="273" spans="2:58" outlineLevel="1" x14ac:dyDescent="0.25">
      <c r="B273" s="293" t="s">
        <v>721</v>
      </c>
      <c r="C273" s="96">
        <v>59</v>
      </c>
      <c r="D273" s="96">
        <v>5</v>
      </c>
      <c r="E273" s="98">
        <v>19</v>
      </c>
      <c r="F273" s="98">
        <v>2.5</v>
      </c>
      <c r="G273" s="98">
        <v>34</v>
      </c>
      <c r="H273" s="98">
        <f>G273/D273</f>
        <v>6.8</v>
      </c>
    </row>
    <row r="274" spans="2:58" outlineLevel="1" x14ac:dyDescent="0.25">
      <c r="B274" s="297" t="s">
        <v>445</v>
      </c>
      <c r="C274" s="97">
        <f>C273+C272</f>
        <v>616</v>
      </c>
      <c r="D274" s="97">
        <f>D273+D272</f>
        <v>79</v>
      </c>
      <c r="E274" s="298">
        <v>130</v>
      </c>
      <c r="F274" s="97">
        <f>F273+F272</f>
        <v>36.5</v>
      </c>
      <c r="G274" s="97">
        <f>G273+G272</f>
        <v>934</v>
      </c>
      <c r="H274" s="298">
        <f>G274/D274</f>
        <v>11.822784810126583</v>
      </c>
    </row>
    <row r="275" spans="2:58" outlineLevel="1" x14ac:dyDescent="0.25">
      <c r="C275" s="163"/>
      <c r="D275" s="326" t="s">
        <v>722</v>
      </c>
      <c r="E275" s="163"/>
      <c r="F275" s="163"/>
      <c r="G275" s="325" t="s">
        <v>723</v>
      </c>
    </row>
    <row r="276" spans="2:58" outlineLevel="1" x14ac:dyDescent="0.25"/>
    <row r="277" spans="2:58" outlineLevel="1" x14ac:dyDescent="0.25">
      <c r="B277" s="293" t="s">
        <v>724</v>
      </c>
      <c r="C277" s="98">
        <f>24.3+5.5+72.1+25.2</f>
        <v>127.1</v>
      </c>
    </row>
    <row r="278" spans="2:58" outlineLevel="1" x14ac:dyDescent="0.25">
      <c r="B278" s="293" t="s">
        <v>725</v>
      </c>
      <c r="C278" s="104">
        <f>C277/F274</f>
        <v>3.4821917808219176</v>
      </c>
    </row>
    <row r="279" spans="2:58" outlineLevel="1" x14ac:dyDescent="0.25">
      <c r="B279" s="293" t="s">
        <v>726</v>
      </c>
      <c r="C279" s="105">
        <f>C278*D279</f>
        <v>3.1339726027397261</v>
      </c>
      <c r="D279" s="394">
        <v>0.9</v>
      </c>
    </row>
    <row r="280" spans="2:58" outlineLevel="1" x14ac:dyDescent="0.25"/>
    <row r="282" spans="2:58" x14ac:dyDescent="0.25">
      <c r="B282" s="512" t="s">
        <v>727</v>
      </c>
      <c r="I282" s="288"/>
      <c r="L282" s="289"/>
      <c r="M282" s="289"/>
      <c r="N282" s="289"/>
      <c r="O282" s="289"/>
      <c r="P282" s="289"/>
      <c r="Q282" s="289"/>
      <c r="R282" s="289"/>
      <c r="S282" s="289"/>
      <c r="T282" s="289"/>
      <c r="U282" s="289"/>
      <c r="V282" s="289"/>
      <c r="W282" s="289"/>
      <c r="X282" s="289"/>
      <c r="Y282" s="289"/>
      <c r="Z282" s="289"/>
      <c r="AA282" s="289"/>
      <c r="AB282" s="289"/>
      <c r="AC282" s="289"/>
      <c r="AD282" s="289"/>
      <c r="AE282" s="289"/>
      <c r="AF282" s="289"/>
      <c r="AG282" s="289"/>
      <c r="AH282" s="289"/>
      <c r="AI282" s="289"/>
      <c r="AJ282" s="289"/>
      <c r="AK282" s="289"/>
      <c r="AL282" s="289"/>
      <c r="AM282" s="289"/>
      <c r="AN282" s="289"/>
      <c r="AO282" s="289"/>
      <c r="AP282" s="289"/>
      <c r="AQ282" s="289"/>
      <c r="AR282" s="289"/>
      <c r="AS282" s="289"/>
      <c r="AT282" s="289"/>
      <c r="AU282" s="289"/>
      <c r="AV282" s="289"/>
      <c r="AW282" s="289"/>
      <c r="AX282" s="289"/>
      <c r="AY282" s="289"/>
      <c r="AZ282" s="289"/>
      <c r="BA282" s="289"/>
      <c r="BB282" s="289"/>
      <c r="BC282" s="289"/>
      <c r="BD282" s="289"/>
      <c r="BE282" s="289"/>
      <c r="BF282" s="289"/>
    </row>
    <row r="283" spans="2:58" hidden="1" outlineLevel="1" x14ac:dyDescent="0.25">
      <c r="B283" s="38" t="s">
        <v>728</v>
      </c>
      <c r="S283" s="38" t="s">
        <v>729</v>
      </c>
    </row>
    <row r="284" spans="2:58" ht="45.6" hidden="1" customHeight="1" outlineLevel="1" x14ac:dyDescent="0.25">
      <c r="B284" s="637"/>
      <c r="C284" s="444" t="s">
        <v>730</v>
      </c>
      <c r="D284" s="444" t="s">
        <v>731</v>
      </c>
      <c r="E284" s="638" t="s">
        <v>732</v>
      </c>
      <c r="F284" s="508"/>
      <c r="G284" s="647" t="s">
        <v>733</v>
      </c>
      <c r="H284" s="444" t="s">
        <v>734</v>
      </c>
      <c r="I284" s="638" t="s">
        <v>735</v>
      </c>
      <c r="S284" s="93"/>
      <c r="T284" s="93">
        <v>2000</v>
      </c>
      <c r="U284" s="93">
        <v>2024</v>
      </c>
    </row>
    <row r="285" spans="2:58" hidden="1" outlineLevel="1" x14ac:dyDescent="0.25">
      <c r="B285" s="639" t="s">
        <v>736</v>
      </c>
      <c r="C285" s="595">
        <v>0.48</v>
      </c>
      <c r="D285" s="640">
        <f>AC307</f>
        <v>0.18183715384615376</v>
      </c>
      <c r="E285" s="641">
        <v>0.49</v>
      </c>
      <c r="G285" s="648">
        <f>C285/$C$286*$G$286</f>
        <v>367.05882352941171</v>
      </c>
      <c r="H285" s="604">
        <v>5</v>
      </c>
      <c r="I285" s="590">
        <f>G285*H285</f>
        <v>1835.2941176470586</v>
      </c>
      <c r="S285" s="74" t="s">
        <v>736</v>
      </c>
      <c r="T285" s="113">
        <v>0.34</v>
      </c>
      <c r="U285" s="113">
        <v>0.48</v>
      </c>
    </row>
    <row r="286" spans="2:58" ht="14.25" hidden="1" customHeight="1" outlineLevel="1" x14ac:dyDescent="0.25">
      <c r="B286" s="645" t="s">
        <v>737</v>
      </c>
      <c r="C286" s="598">
        <v>0.17</v>
      </c>
      <c r="D286" s="598">
        <f>AC308</f>
        <v>0.35698284615384623</v>
      </c>
      <c r="E286" s="646">
        <v>0.26</v>
      </c>
      <c r="G286" s="649">
        <f>E274</f>
        <v>130</v>
      </c>
      <c r="H286" s="606">
        <v>7</v>
      </c>
      <c r="I286" s="593">
        <f>G286*H286</f>
        <v>910</v>
      </c>
      <c r="S286" s="74" t="s">
        <v>737</v>
      </c>
      <c r="T286" s="113">
        <v>0.5</v>
      </c>
      <c r="U286" s="113">
        <v>0.32</v>
      </c>
    </row>
    <row r="287" spans="2:58" hidden="1" outlineLevel="1" x14ac:dyDescent="0.25">
      <c r="B287" s="639" t="s">
        <v>738</v>
      </c>
      <c r="C287" s="595">
        <v>0.3</v>
      </c>
      <c r="D287" s="640">
        <f>AC309</f>
        <v>0.32880000000000004</v>
      </c>
      <c r="E287" s="641">
        <v>0.17</v>
      </c>
      <c r="G287" s="648">
        <f>C287/$C$286*$G$286</f>
        <v>229.41176470588232</v>
      </c>
      <c r="H287" s="604">
        <v>2</v>
      </c>
      <c r="I287" s="590">
        <f>G287*H287</f>
        <v>458.82352941176464</v>
      </c>
      <c r="S287" s="74" t="s">
        <v>738</v>
      </c>
      <c r="T287" s="113">
        <v>0.13</v>
      </c>
      <c r="U287" s="113">
        <v>0.13</v>
      </c>
    </row>
    <row r="288" spans="2:58" hidden="1" outlineLevel="1" x14ac:dyDescent="0.25">
      <c r="B288" s="645" t="s">
        <v>739</v>
      </c>
      <c r="C288" s="598">
        <v>0.05</v>
      </c>
      <c r="D288" s="640">
        <f>AC310</f>
        <v>0.13238000000000003</v>
      </c>
      <c r="E288" s="646">
        <v>0.08</v>
      </c>
      <c r="G288" s="652">
        <f>C288/$C$286*$G$286</f>
        <v>38.235294117647058</v>
      </c>
      <c r="H288" s="606">
        <v>5</v>
      </c>
      <c r="I288" s="593">
        <f>G288*H288</f>
        <v>191.1764705882353</v>
      </c>
      <c r="S288" s="253" t="s">
        <v>740</v>
      </c>
      <c r="T288" s="113">
        <v>0</v>
      </c>
      <c r="U288" s="113">
        <v>0.02</v>
      </c>
    </row>
    <row r="289" spans="2:49" hidden="1" outlineLevel="1" x14ac:dyDescent="0.25">
      <c r="B289" s="642" t="s">
        <v>445</v>
      </c>
      <c r="C289" s="643">
        <f>SUM(C285:C288)</f>
        <v>1</v>
      </c>
      <c r="D289" s="643"/>
      <c r="E289" s="644">
        <f>SUM(E285:E288)</f>
        <v>1</v>
      </c>
      <c r="G289" s="650">
        <f>SUM(G285:G288)</f>
        <v>764.7058823529411</v>
      </c>
      <c r="H289" s="433"/>
      <c r="I289" s="651">
        <f>SUM(I285:I288)</f>
        <v>3395.2941176470586</v>
      </c>
      <c r="S289" s="253" t="s">
        <v>741</v>
      </c>
      <c r="T289" s="113">
        <v>0.03</v>
      </c>
      <c r="U289" s="113">
        <v>0.05</v>
      </c>
    </row>
    <row r="290" spans="2:49" hidden="1" outlineLevel="1" x14ac:dyDescent="0.25">
      <c r="B290" s="122" t="s">
        <v>742</v>
      </c>
      <c r="S290" s="146" t="s">
        <v>743</v>
      </c>
    </row>
    <row r="291" spans="2:49" ht="20.45" hidden="1" customHeight="1" outlineLevel="1" x14ac:dyDescent="0.25">
      <c r="B291" s="656" t="s">
        <v>744</v>
      </c>
      <c r="F291" s="407"/>
      <c r="AH291">
        <f>AC293/C293-1</f>
        <v>-0.45880807842714466</v>
      </c>
    </row>
    <row r="292" spans="2:49" hidden="1" outlineLevel="1" x14ac:dyDescent="0.25">
      <c r="B292" s="610"/>
      <c r="C292" s="600">
        <v>2024</v>
      </c>
      <c r="D292" s="600">
        <v>2025</v>
      </c>
      <c r="E292" s="600">
        <v>2026</v>
      </c>
      <c r="F292" s="600">
        <v>2027</v>
      </c>
      <c r="G292" s="600">
        <v>2028</v>
      </c>
      <c r="H292" s="600">
        <v>2029</v>
      </c>
      <c r="I292" s="600">
        <v>2030</v>
      </c>
      <c r="J292" s="600">
        <v>2031</v>
      </c>
      <c r="K292" s="600">
        <v>2032</v>
      </c>
      <c r="L292" s="600">
        <v>2033</v>
      </c>
      <c r="M292" s="600">
        <v>2034</v>
      </c>
      <c r="N292" s="600">
        <v>2035</v>
      </c>
      <c r="O292" s="600">
        <v>2036</v>
      </c>
      <c r="P292" s="600">
        <v>2037</v>
      </c>
      <c r="Q292" s="600">
        <v>2038</v>
      </c>
      <c r="R292" s="600">
        <v>2039</v>
      </c>
      <c r="S292" s="600">
        <v>2040</v>
      </c>
      <c r="T292" s="600">
        <v>2041</v>
      </c>
      <c r="U292" s="600">
        <v>2042</v>
      </c>
      <c r="V292" s="600">
        <v>2043</v>
      </c>
      <c r="W292" s="600">
        <v>2044</v>
      </c>
      <c r="X292" s="600">
        <v>2045</v>
      </c>
      <c r="Y292" s="600">
        <v>2046</v>
      </c>
      <c r="Z292" s="600">
        <v>2047</v>
      </c>
      <c r="AA292" s="600">
        <v>2048</v>
      </c>
      <c r="AB292" s="600">
        <v>2049</v>
      </c>
      <c r="AC292" s="600">
        <v>2050</v>
      </c>
      <c r="AD292" s="600">
        <v>2051</v>
      </c>
      <c r="AE292" s="600">
        <v>2052</v>
      </c>
      <c r="AF292" s="600">
        <v>2053</v>
      </c>
      <c r="AG292" s="600">
        <v>2054</v>
      </c>
      <c r="AH292" s="600">
        <v>2055</v>
      </c>
      <c r="AI292" s="600">
        <v>2056</v>
      </c>
      <c r="AJ292" s="600">
        <v>2057</v>
      </c>
      <c r="AK292" s="600">
        <v>2058</v>
      </c>
      <c r="AL292" s="600">
        <v>2059</v>
      </c>
      <c r="AM292" s="600">
        <v>2060</v>
      </c>
      <c r="AN292" s="600">
        <v>2061</v>
      </c>
      <c r="AO292" s="600">
        <v>2062</v>
      </c>
      <c r="AP292" s="600">
        <v>2063</v>
      </c>
      <c r="AQ292" s="600">
        <v>2064</v>
      </c>
      <c r="AR292" s="600">
        <v>2065</v>
      </c>
      <c r="AS292" s="600">
        <v>2066</v>
      </c>
      <c r="AT292" s="600">
        <v>2067</v>
      </c>
      <c r="AU292" s="600">
        <v>2068</v>
      </c>
      <c r="AV292" s="600">
        <v>2069</v>
      </c>
      <c r="AW292" s="601">
        <v>2070</v>
      </c>
    </row>
    <row r="293" spans="2:49" hidden="1" outlineLevel="1" x14ac:dyDescent="0.25">
      <c r="B293" s="639" t="s">
        <v>736</v>
      </c>
      <c r="C293" s="589">
        <f>I285</f>
        <v>1835.2941176470586</v>
      </c>
      <c r="D293" s="589">
        <f>I285</f>
        <v>1835.2941176470586</v>
      </c>
      <c r="E293" s="589">
        <f>$C$293-('TR1-5'!E80+'TR13-18'!D55+'TR11'!D48+'TR19-21'!D55+'TR22-30'!D60+'TR31-34'!D55)/1000-'TR36,37,44'!D55</f>
        <v>1835.2941176470586</v>
      </c>
      <c r="F293" s="589">
        <f>$C$293-('TR1-5'!F80+'TR13-18'!E55+'TR11'!E48+'TR19-21'!E55+'TR22-30'!E60+'TR31-34'!E55)/1000-'TR36,37,44'!E55</f>
        <v>1832.9155462184872</v>
      </c>
      <c r="G293" s="589">
        <f>$C$293-('TR1-5'!G80+'TR13-18'!F55+'TR11'!F48+'TR19-21'!F55+'TR22-30'!F60+'TR31-34'!F55)/1000-'TR36,37,44'!F55</f>
        <v>1827.0548319327729</v>
      </c>
      <c r="H293" s="589">
        <f>$C$293-('TR1-5'!H80+'TR13-18'!G55+'TR11'!G48+'TR19-21'!G55+'TR22-30'!G60+'TR31-34'!G55)/1000-'TR36,37,44'!G55</f>
        <v>1821.1941176470586</v>
      </c>
      <c r="I293" s="589">
        <f>$C$293-('TR1-5'!I80+'TR13-18'!H55+'TR11'!H48+'TR19-21'!H55+'TR22-30'!H60+'TR31-34'!H55)/1000-'TR36,37,44'!H55</f>
        <v>1656.0618469317958</v>
      </c>
      <c r="J293" s="589">
        <f>$C$293-('TR1-5'!J80+'TR13-18'!I55+'TR11'!I48+'TR19-21'!I55+'TR22-30'!I60+'TR31-34'!I55)/1000-'TR36,37,44'!I55</f>
        <v>1603.007855335157</v>
      </c>
      <c r="K293" s="589">
        <f>$C$293-('TR1-5'!K80+'TR13-18'!J55+'TR11'!J48+'TR19-21'!J55+'TR22-30'!J60+'TR31-34'!J55)/1000-'TR36,37,44'!J55</f>
        <v>1599.5257124780142</v>
      </c>
      <c r="L293" s="589">
        <f>$C$293-('TR1-5'!L80+'TR13-18'!K55+'TR11'!K48+'TR19-21'!K55+'TR22-30'!K60+'TR31-34'!K55)/1000-'TR36,37,44'!K55</f>
        <v>1596.0435696208713</v>
      </c>
      <c r="M293" s="589">
        <f>$C$293-('TR1-5'!M80+'TR13-18'!L55+'TR11'!L48+'TR19-21'!L55+'TR22-30'!L60+'TR31-34'!L55)/1000-'TR36,37,44'!L55</f>
        <v>1592.5614267637284</v>
      </c>
      <c r="N293" s="589">
        <f>$C$293-('TR1-5'!N80+'TR13-18'!M55+'TR11'!M48+'TR19-21'!M55+'TR22-30'!M60+'TR31-34'!M55)/1000-'TR36,37,44'!M55</f>
        <v>1589.0792839065855</v>
      </c>
      <c r="O293" s="589">
        <f>$C$293-('TR1-5'!O80+'TR13-18'!N55+'TR11'!N48+'TR19-21'!N55+'TR22-30'!N60+'TR31-34'!N55)/1000-'TR36,37,44'!N55</f>
        <v>1276.9998873485438</v>
      </c>
      <c r="P293" s="589">
        <f>$C$293-('TR1-5'!P80+'TR13-18'!O55+'TR11'!O48+'TR19-21'!O55+'TR22-30'!O60+'TR31-34'!O55)/1000-'TR36,37,44'!O55</f>
        <v>1273.5177444914009</v>
      </c>
      <c r="Q293" s="589">
        <f>$C$293-('TR1-5'!Q80+'TR13-18'!P55+'TR11'!P48+'TR19-21'!P55+'TR22-30'!P60+'TR31-34'!P55)/1000-'TR36,37,44'!P55</f>
        <v>1228.2498873485438</v>
      </c>
      <c r="R293" s="589">
        <f>$C$293-('TR1-5'!R80+'TR13-18'!Q55+'TR11'!Q48+'TR19-21'!Q55+'TR22-30'!Q60+'TR31-34'!Q55)/1000-'TR36,37,44'!Q55</f>
        <v>1088.6910080918992</v>
      </c>
      <c r="S293" s="589">
        <f>$C$293-('TR1-5'!S80+'TR13-18'!R55+'TR11'!R48+'TR19-21'!R55+'TR22-30'!R60+'TR31-34'!R55)/1000-'TR36,37,44'!R55</f>
        <v>1088.6910080918992</v>
      </c>
      <c r="T293" s="589">
        <f>$C$293-('TR1-5'!T80+'TR13-18'!S55+'TR11'!S48+'TR19-21'!S55+'TR22-30'!S60+'TR31-34'!S55)/1000-'TR36,37,44'!S55</f>
        <v>1088.6910080918992</v>
      </c>
      <c r="U293" s="589">
        <f>$C$293-('TR1-5'!U80+'TR13-18'!T55+'TR11'!T48+'TR19-21'!T55+'TR22-30'!T60+'TR31-34'!T55)/1000-'TR36,37,44'!T55</f>
        <v>1066.9062074274473</v>
      </c>
      <c r="V293" s="589">
        <f>$C$293-('TR1-5'!V80+'TR13-18'!U55+'TR11'!U48+'TR19-21'!U55+'TR22-30'!U60+'TR31-34'!U55)/1000-'TR36,37,44'!U55</f>
        <v>1066.9062074274473</v>
      </c>
      <c r="W293" s="589">
        <f>$C$293-('TR1-5'!W80+'TR13-18'!V55+'TR11'!V48+'TR19-21'!V55+'TR22-30'!V60+'TR31-34'!V55)/1000-'TR36,37,44'!V55</f>
        <v>1063.5023323236267</v>
      </c>
      <c r="X293" s="589">
        <f>$C$293-('TR1-5'!X80+'TR13-18'!W55+'TR11'!W48+'TR19-21'!W55+'TR22-30'!W60+'TR31-34'!W55)/1000-'TR36,37,44'!W55</f>
        <v>1063.5023323236267</v>
      </c>
      <c r="Y293" s="589">
        <f>$C$293-('TR1-5'!Y80+'TR13-18'!X55+'TR11'!X48+'TR19-21'!X55+'TR22-30'!X60+'TR31-34'!X55)/1000-'TR36,37,44'!X55</f>
        <v>1017.7542509282778</v>
      </c>
      <c r="Z293" s="589">
        <f>$C$293-('TR1-5'!Z80+'TR13-18'!Y55+'TR11'!Y48+'TR19-21'!Y55+'TR22-30'!Y60+'TR31-34'!Y55)/1000-'TR36,37,44'!Y55</f>
        <v>1017.7542509282778</v>
      </c>
      <c r="AA293" s="589">
        <f>$C$293-('TR1-5'!AA80+'TR13-18'!Z55+'TR11'!Z48+'TR19-21'!Z55+'TR22-30'!Z60+'TR31-34'!Z55)/1000-'TR36,37,44'!Z55</f>
        <v>1017.7542509282778</v>
      </c>
      <c r="AB293" s="589">
        <f>$C$293-('TR1-5'!AB80+'TR13-18'!AA55+'TR11'!AA48+'TR19-21'!AA55+'TR22-30'!AA60+'TR31-34'!AA55)/1000-'TR36,37,44'!AA55</f>
        <v>1017.7542509282778</v>
      </c>
      <c r="AC293" s="589">
        <f>$C$293-('TR1-5'!AC80+'TR13-18'!AB55+'TR11'!AB48+'TR19-21'!AB55+'TR22-30'!AB60+'TR31-34'!AB55)/1000-'TR36,37,44'!AB55</f>
        <v>993.2463501807697</v>
      </c>
      <c r="AD293" s="589">
        <f>$C$293-('TR1-5'!AD80+'TR13-18'!AC55+'TR11'!AC48+'TR19-21'!AC55+'TR22-30'!AC60+'TR31-34'!AC55)/1000-'TR36,37,44'!AC55</f>
        <v>993.2463501807697</v>
      </c>
      <c r="AE293" s="589">
        <f>$C$293-('TR1-5'!AE80+'TR13-18'!AD55+'TR11'!AD48+'TR19-21'!AD55+'TR22-30'!AD60+'TR31-34'!AD55)/1000-'TR36,37,44'!AD55</f>
        <v>993.2463501807697</v>
      </c>
      <c r="AF293" s="589">
        <f>$C$293-('TR1-5'!AF80+'TR13-18'!AE55+'TR11'!AE48+'TR19-21'!AE55+'TR22-30'!AE60+'TR31-34'!AE55)/1000-'TR36,37,44'!AE55</f>
        <v>993.2463501807697</v>
      </c>
      <c r="AG293" s="589">
        <f>$C$293-('TR1-5'!AG80+'TR13-18'!AF55+'TR11'!AF48+'TR19-21'!AF55+'TR22-30'!AF60+'TR31-34'!AF55)/1000-'TR36,37,44'!AF55</f>
        <v>993.2463501807697</v>
      </c>
      <c r="AH293" s="589">
        <f>$C$293-('TR1-5'!AH80+'TR13-18'!AG55+'TR11'!AG48+'TR19-21'!AG55+'TR22-30'!AG60+'TR31-34'!AG55)/1000-'TR36,37,44'!AG55</f>
        <v>993.2463501807697</v>
      </c>
      <c r="AI293" s="589">
        <f>$C$293-('TR1-5'!AI80+'TR13-18'!AH55+'TR11'!AH48+'TR19-21'!AH55+'TR22-30'!AH60+'TR31-34'!AH55)/1000-'TR36,37,44'!AH55</f>
        <v>993.2463501807697</v>
      </c>
      <c r="AJ293" s="589">
        <f>$C$293-('TR1-5'!AJ80+'TR13-18'!AI55+'TR11'!AI48+'TR19-21'!AI55+'TR22-30'!AI60+'TR31-34'!AI55)/1000-'TR36,37,44'!AI55</f>
        <v>993.2463501807697</v>
      </c>
      <c r="AK293" s="589">
        <f>$C$293-('TR1-5'!AK80+'TR13-18'!AJ55+'TR11'!AJ48+'TR19-21'!AJ55+'TR22-30'!AJ60+'TR31-34'!AJ55)/1000-'TR36,37,44'!AJ55</f>
        <v>993.2463501807697</v>
      </c>
      <c r="AL293" s="589">
        <f>$C$293-('TR1-5'!AL80+'TR13-18'!AK55+'TR11'!AK48+'TR19-21'!AK55+'TR22-30'!AK60+'TR31-34'!AK55)/1000-'TR36,37,44'!AK55</f>
        <v>993.2463501807697</v>
      </c>
      <c r="AM293" s="589">
        <f>$C$293-('TR1-5'!AM80+'TR13-18'!AL55+'TR11'!AL48+'TR19-21'!AL55+'TR22-30'!AL60+'TR31-34'!AL55)/1000-'TR36,37,44'!AL55</f>
        <v>993.2463501807697</v>
      </c>
      <c r="AN293" s="589">
        <f>$C$293-('TR1-5'!AN80+'TR13-18'!AM55+'TR11'!AM48+'TR19-21'!AM55+'TR22-30'!AM60+'TR31-34'!AM55)/1000-'TR36,37,44'!AM55</f>
        <v>993.2463501807697</v>
      </c>
      <c r="AO293" s="589">
        <f>$C$293-('TR1-5'!AO80+'TR13-18'!AN55+'TR11'!AN48+'TR19-21'!AN55+'TR22-30'!AN60+'TR31-34'!AN55)/1000-'TR36,37,44'!AN55</f>
        <v>993.2463501807697</v>
      </c>
      <c r="AP293" s="589">
        <f>$C$293-('TR1-5'!AP80+'TR13-18'!AO55+'TR11'!AO48+'TR19-21'!AO55+'TR22-30'!AO60+'TR31-34'!AO55)/1000-'TR36,37,44'!AO55</f>
        <v>993.2463501807697</v>
      </c>
      <c r="AQ293" s="589">
        <f>$C$293-('TR1-5'!AQ80+'TR13-18'!AP55+'TR11'!AP48+'TR19-21'!AP55+'TR22-30'!AP60+'TR31-34'!AP55)/1000-'TR36,37,44'!AP55</f>
        <v>993.2463501807697</v>
      </c>
      <c r="AR293" s="589">
        <f>$C$293-('TR1-5'!AR80+'TR13-18'!AQ55+'TR11'!AQ48+'TR19-21'!AQ55+'TR22-30'!AQ60+'TR31-34'!AQ55)/1000-'TR36,37,44'!AQ55</f>
        <v>993.2463501807697</v>
      </c>
      <c r="AS293" s="589">
        <f>$C$293-('TR1-5'!AS80+'TR13-18'!AR55+'TR11'!AR48+'TR19-21'!AR55+'TR22-30'!AR60+'TR31-34'!AR55)/1000-'TR36,37,44'!AR55</f>
        <v>993.2463501807697</v>
      </c>
      <c r="AT293" s="589">
        <f>$C$293-('TR1-5'!AT80+'TR13-18'!AS55+'TR11'!AS48+'TR19-21'!AS55+'TR22-30'!AS60+'TR31-34'!AS55)/1000-'TR36,37,44'!AS55</f>
        <v>993.2463501807697</v>
      </c>
      <c r="AU293" s="589">
        <f>$C$293-('TR1-5'!AU80+'TR13-18'!AT55+'TR11'!AT48+'TR19-21'!AT55+'TR22-30'!AT60+'TR31-34'!AT55)/1000-'TR36,37,44'!AT55</f>
        <v>993.2463501807697</v>
      </c>
      <c r="AV293" s="589">
        <f>$C$293-('TR1-5'!AV80+'TR13-18'!AU55+'TR11'!AU48+'TR19-21'!AU55+'TR22-30'!AU60+'TR31-34'!AU55)/1000-'TR36,37,44'!AU55</f>
        <v>993.2463501807697</v>
      </c>
      <c r="AW293" s="590">
        <f>$C$293-('TR1-5'!AW80+'TR13-18'!AV55+'TR11'!AV48+'TR19-21'!AV55+'TR22-30'!AV60+'TR31-34'!AV55)/1000-'TR36,37,44'!AV55</f>
        <v>993.2463501807697</v>
      </c>
    </row>
    <row r="294" spans="2:49" hidden="1" outlineLevel="1" x14ac:dyDescent="0.25">
      <c r="B294" s="645" t="s">
        <v>737</v>
      </c>
      <c r="C294" s="592">
        <f>I286</f>
        <v>910</v>
      </c>
      <c r="D294" s="592">
        <f>$C$294+'TR1-5'!D80/1000</f>
        <v>910</v>
      </c>
      <c r="E294" s="592">
        <f>$C$294+('TR1-5'!E80+'TR11'!D46+'TR13-18'!D53+'TR36,37,44'!D53*'TR36,37,44'!$C$12)/1000+'TR31-34'!D53*SISENDID!$H$286</f>
        <v>910</v>
      </c>
      <c r="F294" s="592">
        <f>$C$294+('TR1-5'!F80+'TR11'!E46+'TR13-18'!E53+'TR36,37,44'!E53*'TR36,37,44'!$C$12)/1000+'TR31-34'!E53*SISENDID!$H$286</f>
        <v>910.00133200000005</v>
      </c>
      <c r="G294" s="592">
        <f>$C$294+('TR1-5'!G80+'TR11'!F46+'TR13-18'!F53+'TR36,37,44'!F53*'TR36,37,44'!$C$12)/1000+'TR31-34'!F53*SISENDID!$H$286</f>
        <v>910.003964</v>
      </c>
      <c r="H294" s="592">
        <f>$C$294+('TR1-5'!H80+'TR11'!G46+'TR13-18'!G53+'TR36,37,44'!G53*'TR36,37,44'!$C$12)/1000+'TR31-34'!G53*SISENDID!$H$286</f>
        <v>910.00659599999994</v>
      </c>
      <c r="I294" s="592">
        <f>$C$294+('TR1-5'!I80+'TR11'!H46+'TR13-18'!H53+'TR36,37,44'!H53*'TR36,37,44'!$C$12)/1000+'TR31-34'!H53*SISENDID!$H$286</f>
        <v>912.12402476568298</v>
      </c>
      <c r="J294" s="592">
        <f>$C$294+('TR1-5'!J80+'TR11'!I46+'TR13-18'!I53+'TR36,37,44'!I53*'TR36,37,44'!$C$12)/1000+'TR31-34'!I53*SISENDID!$H$286</f>
        <v>912.12665676568304</v>
      </c>
      <c r="K294" s="592">
        <f>$C$294+('TR1-5'!K80+'TR11'!J46+'TR13-18'!J53+'TR36,37,44'!J53*'TR36,37,44'!$C$12)/1000+'TR31-34'!J53*SISENDID!$H$286</f>
        <v>912.12795676568305</v>
      </c>
      <c r="L294" s="592">
        <f>$C$294+('TR1-5'!L80+'TR11'!K46+'TR13-18'!K53+'TR36,37,44'!K53*'TR36,37,44'!$C$12)/1000+'TR31-34'!K53*SISENDID!$H$286</f>
        <v>912.12925676568307</v>
      </c>
      <c r="M294" s="592">
        <f>$C$294+('TR1-5'!M80+'TR11'!L46+'TR13-18'!L53+'TR36,37,44'!L53*'TR36,37,44'!$C$12)/1000+'TR31-34'!L53*SISENDID!$H$286</f>
        <v>912.13055676568297</v>
      </c>
      <c r="N294" s="592">
        <f>$C$294+('TR1-5'!N80+'TR11'!M46+'TR13-18'!M53+'TR36,37,44'!M53*'TR36,37,44'!$C$12)/1000+'TR31-34'!M53*SISENDID!$H$286</f>
        <v>912.13185676568298</v>
      </c>
      <c r="O294" s="592">
        <f>$C$294+('TR1-5'!O80+'TR11'!N46+'TR13-18'!N53+'TR36,37,44'!N53*'TR36,37,44'!$C$12)/1000+'TR31-34'!N53*SISENDID!$H$286</f>
        <v>1195.0035197102795</v>
      </c>
      <c r="P294" s="592">
        <f>$C$294+('TR1-5'!P80+'TR11'!O46+'TR13-18'!O53+'TR36,37,44'!O53*'TR36,37,44'!$C$12)/1000+'TR31-34'!O53*SISENDID!$H$286</f>
        <v>1195.0048197102794</v>
      </c>
      <c r="Q294" s="592">
        <f>$C$294+('TR1-5'!Q80+'TR11'!P46+'TR13-18'!P53+'TR36,37,44'!P53*'TR36,37,44'!$C$12)/1000+'TR31-34'!P53*SISENDID!$H$286</f>
        <v>1195.0048197102794</v>
      </c>
      <c r="R294" s="592">
        <f>$C$294+('TR1-5'!R80+'TR11'!Q46+'TR13-18'!Q53+'TR36,37,44'!Q53*'TR36,37,44'!$C$12)/1000+'TR31-34'!Q53*SISENDID!$H$286</f>
        <v>1334.563698966924</v>
      </c>
      <c r="S294" s="592">
        <f>$C$294+('TR1-5'!S80+'TR11'!R46+'TR13-18'!R53+'TR36,37,44'!R53*'TR36,37,44'!$C$12)/1000+'TR31-34'!R53*SISENDID!$H$286</f>
        <v>1334.563698966924</v>
      </c>
      <c r="T294" s="592">
        <f>$C$294+('TR1-5'!T80+'TR11'!S46+'TR13-18'!S53+'TR36,37,44'!S53*'TR36,37,44'!$C$12)/1000+'TR31-34'!S53*SISENDID!$H$286</f>
        <v>1334.563698966924</v>
      </c>
      <c r="U294" s="592">
        <f>$C$294+('TR1-5'!U80+'TR11'!T46+'TR13-18'!T53+'TR36,37,44'!T53*'TR36,37,44'!$C$12)/1000+'TR31-34'!T53*SISENDID!$H$286</f>
        <v>1356.3484996313759</v>
      </c>
      <c r="V294" s="592">
        <f>$C$294+('TR1-5'!V80+'TR11'!U46+'TR13-18'!U53+'TR36,37,44'!U53*'TR36,37,44'!$C$12)/1000+'TR31-34'!U53*SISENDID!$H$286</f>
        <v>1356.3484996313759</v>
      </c>
      <c r="W294" s="592">
        <f>$C$294+('TR1-5'!W80+'TR11'!V46+'TR13-18'!V53+'TR36,37,44'!V53*'TR36,37,44'!$C$12)/1000+'TR31-34'!V53*SISENDID!$H$286</f>
        <v>1359.7523747351966</v>
      </c>
      <c r="X294" s="592">
        <f>$C$294+('TR1-5'!X80+'TR11'!W46+'TR13-18'!W53+'TR36,37,44'!W53*'TR36,37,44'!$C$12)/1000+'TR31-34'!W53*SISENDID!$H$286</f>
        <v>1359.7523747351966</v>
      </c>
      <c r="Y294" s="592">
        <f>$C$294+('TR1-5'!Y80+'TR11'!X46+'TR13-18'!X53+'TR36,37,44'!X53*'TR36,37,44'!$C$12)/1000+'TR31-34'!X53*SISENDID!$H$286</f>
        <v>1405.5004561305452</v>
      </c>
      <c r="Z294" s="592">
        <f>$C$294+('TR1-5'!Z80+'TR11'!Y46+'TR13-18'!Y53+'TR36,37,44'!Y53*'TR36,37,44'!$C$12)/1000+'TR31-34'!Y53*SISENDID!$H$286</f>
        <v>1405.5004561305452</v>
      </c>
      <c r="AA294" s="592">
        <f>$C$294+('TR1-5'!AA80+'TR11'!Z46+'TR13-18'!Z53+'TR36,37,44'!Z53*'TR36,37,44'!$C$12)/1000+'TR31-34'!Z53*SISENDID!$H$286</f>
        <v>1405.5004561305452</v>
      </c>
      <c r="AB294" s="592">
        <f>$C$294+('TR1-5'!AB80+'TR11'!AA46+'TR13-18'!AA53+'TR36,37,44'!AA53*'TR36,37,44'!$C$12)/1000+'TR31-34'!AA53*SISENDID!$H$286</f>
        <v>1405.5004561305452</v>
      </c>
      <c r="AC294" s="592">
        <f>$C$294+('TR1-5'!AC80+'TR11'!AB46+'TR13-18'!AB53+'TR36,37,44'!AB53*'TR36,37,44'!$C$12)/1000+'TR31-34'!AB53*SISENDID!$H$286</f>
        <v>1430.0083568780537</v>
      </c>
      <c r="AD294" s="592">
        <f>$C$294+('TR1-5'!AD80+'TR11'!AC46+'TR13-18'!AC53+'TR36,37,44'!AC53*'TR36,37,44'!$C$12)/1000+'TR31-34'!AC53*SISENDID!$H$286</f>
        <v>1430.0083568780537</v>
      </c>
      <c r="AE294" s="592">
        <f>$C$294+('TR1-5'!AE80+'TR11'!AD46+'TR13-18'!AD53+'TR36,37,44'!AD53*'TR36,37,44'!$C$12)/1000+'TR31-34'!AD53*SISENDID!$H$286</f>
        <v>1430.0083568780537</v>
      </c>
      <c r="AF294" s="592">
        <f>$C$294+('TR1-5'!AF80+'TR11'!AE46+'TR13-18'!AE53+'TR36,37,44'!AE53*'TR36,37,44'!$C$12)/1000+'TR31-34'!AE53*SISENDID!$H$286</f>
        <v>1430.0083568780537</v>
      </c>
      <c r="AG294" s="592">
        <f>$C$294+('TR1-5'!AG80+'TR11'!AF46+'TR13-18'!AF53+'TR36,37,44'!AF53*'TR36,37,44'!$C$12)/1000+'TR31-34'!AF53*SISENDID!$H$286</f>
        <v>1430.0083568780537</v>
      </c>
      <c r="AH294" s="592">
        <f>$C$294+('TR1-5'!AH80+'TR11'!AG46+'TR13-18'!AG53+'TR36,37,44'!AG53*'TR36,37,44'!$C$12)/1000+'TR31-34'!AG53*SISENDID!$H$286</f>
        <v>1430.0083568780537</v>
      </c>
      <c r="AI294" s="592">
        <f>$C$294+('TR1-5'!AI80+'TR11'!AH46+'TR13-18'!AH53+'TR36,37,44'!AH53*'TR36,37,44'!$C$12)/1000+'TR31-34'!AH53*SISENDID!$H$286</f>
        <v>1430.0083568780537</v>
      </c>
      <c r="AJ294" s="592">
        <f>$C$294+('TR1-5'!AJ80+'TR11'!AI46+'TR13-18'!AI53+'TR36,37,44'!AI53*'TR36,37,44'!$C$12)/1000+'TR31-34'!AI53*SISENDID!$H$286</f>
        <v>1430.0083568780537</v>
      </c>
      <c r="AK294" s="592">
        <f>$C$294+('TR1-5'!AK80+'TR11'!AJ46+'TR13-18'!AJ53+'TR36,37,44'!AJ53*'TR36,37,44'!$C$12)/1000+'TR31-34'!AJ53*SISENDID!$H$286</f>
        <v>1430.0083568780537</v>
      </c>
      <c r="AL294" s="592">
        <f>$C$294+('TR1-5'!AL80+'TR11'!AK46+'TR13-18'!AK53+'TR36,37,44'!AK53*'TR36,37,44'!$C$12)/1000+'TR31-34'!AK53*SISENDID!$H$286</f>
        <v>1430.0083568780537</v>
      </c>
      <c r="AM294" s="592">
        <f>$C$294+('TR1-5'!AM80+'TR11'!AL46+'TR13-18'!AL53+'TR36,37,44'!AL53*'TR36,37,44'!$C$12)/1000+'TR31-34'!AL53*SISENDID!$H$286</f>
        <v>1430.0083568780537</v>
      </c>
      <c r="AN294" s="592">
        <f>$C$294+('TR1-5'!AN80+'TR11'!AM46+'TR13-18'!AM53+'TR36,37,44'!AM53*'TR36,37,44'!$C$12)/1000+'TR31-34'!AM53*SISENDID!$H$286</f>
        <v>1430.0083568780537</v>
      </c>
      <c r="AO294" s="592">
        <f>$C$294+('TR1-5'!AO80+'TR11'!AN46+'TR13-18'!AN53+'TR36,37,44'!AN53*'TR36,37,44'!$C$12)/1000+'TR31-34'!AN53*SISENDID!$H$286</f>
        <v>1430.0083568780537</v>
      </c>
      <c r="AP294" s="592">
        <f>$C$294+('TR1-5'!AP80+'TR11'!AO46+'TR13-18'!AO53+'TR36,37,44'!AO53*'TR36,37,44'!$C$12)/1000+'TR31-34'!AO53*SISENDID!$H$286</f>
        <v>1430.0083568780537</v>
      </c>
      <c r="AQ294" s="592">
        <f>$C$294+('TR1-5'!AQ80+'TR11'!AP46+'TR13-18'!AP53+'TR36,37,44'!AP53*'TR36,37,44'!$C$12)/1000+'TR31-34'!AP53*SISENDID!$H$286</f>
        <v>1430.0083568780537</v>
      </c>
      <c r="AR294" s="592">
        <f>$C$294+('TR1-5'!AR80+'TR11'!AQ46+'TR13-18'!AQ53+'TR36,37,44'!AQ53*'TR36,37,44'!$C$12)/1000+'TR31-34'!AQ53*SISENDID!$H$286</f>
        <v>1430.0083568780537</v>
      </c>
      <c r="AS294" s="592">
        <f>$C$294+('TR1-5'!AS80+'TR11'!AR46+'TR13-18'!AR53+'TR36,37,44'!AR53*'TR36,37,44'!$C$12)/1000+'TR31-34'!AR53*SISENDID!$H$286</f>
        <v>1430.0083568780537</v>
      </c>
      <c r="AT294" s="592">
        <f>$C$294+('TR1-5'!AT80+'TR11'!AS46+'TR13-18'!AS53+'TR36,37,44'!AS53*'TR36,37,44'!$C$12)/1000+'TR31-34'!AS53*SISENDID!$H$286</f>
        <v>1430.0083568780537</v>
      </c>
      <c r="AU294" s="592">
        <f>$C$294+('TR1-5'!AU80+'TR11'!AT46+'TR13-18'!AT53+'TR36,37,44'!AT53*'TR36,37,44'!$C$12)/1000+'TR31-34'!AT53*SISENDID!$H$286</f>
        <v>1430.0083568780537</v>
      </c>
      <c r="AV294" s="592">
        <f>$C$294+('TR1-5'!AV80+'TR11'!AU46+'TR13-18'!AU53+'TR36,37,44'!AU53*'TR36,37,44'!$C$12)/1000+'TR31-34'!AU53*SISENDID!$H$286</f>
        <v>1430.0083568780537</v>
      </c>
      <c r="AW294" s="593">
        <f>$C$294+('TR1-5'!AW80+'TR11'!AV46+'TR13-18'!AV53+'TR36,37,44'!AV53*'TR36,37,44'!$C$12)/1000+'TR31-34'!AV53*SISENDID!$H$286</f>
        <v>1430.0083568780537</v>
      </c>
    </row>
    <row r="295" spans="2:49" hidden="1" outlineLevel="1" x14ac:dyDescent="0.25">
      <c r="B295" s="639" t="s">
        <v>738</v>
      </c>
      <c r="C295" s="589">
        <f>I287</f>
        <v>458.82352941176464</v>
      </c>
      <c r="D295" s="589">
        <f>C295</f>
        <v>458.82352941176464</v>
      </c>
      <c r="E295" s="589">
        <f>$C$295+'TR31-34'!D51*SISENDID!$H$287</f>
        <v>458.82352941176464</v>
      </c>
      <c r="F295" s="589">
        <f>$C$295+'TR31-34'!E51*SISENDID!$H$287</f>
        <v>458.82352941176464</v>
      </c>
      <c r="G295" s="589">
        <f>$C$295+'TR31-34'!F51*SISENDID!$H$287</f>
        <v>458.82352941176464</v>
      </c>
      <c r="H295" s="589">
        <f>$C$295+'TR31-34'!G51*SISENDID!$H$287</f>
        <v>458.82352941176464</v>
      </c>
      <c r="I295" s="589">
        <f>$C$295+'TR31-34'!H51*SISENDID!$H$287</f>
        <v>458.82352941176464</v>
      </c>
      <c r="J295" s="589">
        <f>$C$295+'TR31-34'!I51*SISENDID!$H$287</f>
        <v>466.16470588235285</v>
      </c>
      <c r="K295" s="589">
        <f>$C$295+'TR31-34'!J51*SISENDID!$H$287</f>
        <v>466.16470588235285</v>
      </c>
      <c r="L295" s="589">
        <f>$C$295+'TR31-34'!K51*SISENDID!$H$287</f>
        <v>466.16470588235285</v>
      </c>
      <c r="M295" s="589">
        <f>$C$295+'TR31-34'!L51*SISENDID!$H$287</f>
        <v>466.16470588235285</v>
      </c>
      <c r="N295" s="589">
        <f>$C$295+'TR31-34'!M51*SISENDID!$H$287</f>
        <v>466.16470588235285</v>
      </c>
      <c r="O295" s="589">
        <f>$C$295+'TR31-34'!N51*SISENDID!$H$287</f>
        <v>502.87058823529406</v>
      </c>
      <c r="P295" s="589">
        <f>$C$295+'TR31-34'!O51*SISENDID!$H$287</f>
        <v>502.87058823529406</v>
      </c>
      <c r="Q295" s="589">
        <f>$C$295+'TR31-34'!P51*SISENDID!$H$287</f>
        <v>502.87058823529406</v>
      </c>
      <c r="R295" s="589">
        <f>$C$295+'TR31-34'!Q51*SISENDID!$H$287</f>
        <v>502.87058823529406</v>
      </c>
      <c r="S295" s="589">
        <f>$C$295+'TR31-34'!R51*SISENDID!$H$287</f>
        <v>502.87058823529406</v>
      </c>
      <c r="T295" s="589">
        <f>$C$295+'TR31-34'!S51*SISENDID!$H$287</f>
        <v>502.87058823529406</v>
      </c>
      <c r="U295" s="589">
        <f>$C$295+'TR31-34'!T51*SISENDID!$H$287</f>
        <v>502.87058823529406</v>
      </c>
      <c r="V295" s="589">
        <f>$C$295+'TR31-34'!U51*SISENDID!$H$287</f>
        <v>502.87058823529406</v>
      </c>
      <c r="W295" s="589">
        <f>$C$295+'TR31-34'!V51*SISENDID!$H$287</f>
        <v>502.87058823529406</v>
      </c>
      <c r="X295" s="589">
        <f>$C$295+'TR31-34'!W51*SISENDID!$H$287</f>
        <v>502.87058823529406</v>
      </c>
      <c r="Y295" s="589">
        <f>$C$295+'TR31-34'!X51*SISENDID!$H$287</f>
        <v>502.87058823529406</v>
      </c>
      <c r="Z295" s="589">
        <f>$C$295+'TR31-34'!Y51*SISENDID!$H$287</f>
        <v>502.87058823529406</v>
      </c>
      <c r="AA295" s="589">
        <f>$C$295+'TR31-34'!Z51*SISENDID!$H$287</f>
        <v>502.87058823529406</v>
      </c>
      <c r="AB295" s="589">
        <f>$C$295+'TR31-34'!AA51*SISENDID!$H$287</f>
        <v>502.87058823529406</v>
      </c>
      <c r="AC295" s="589">
        <f>$C$295+'TR31-34'!AB51*SISENDID!$H$287</f>
        <v>502.87058823529406</v>
      </c>
      <c r="AD295" s="589">
        <f>$C$295+'TR31-34'!AC51*SISENDID!$H$287</f>
        <v>502.87058823529406</v>
      </c>
      <c r="AE295" s="589">
        <f>$C$295+'TR31-34'!AD51*SISENDID!$H$287</f>
        <v>502.87058823529406</v>
      </c>
      <c r="AF295" s="589">
        <f>$C$295+'TR31-34'!AE51*SISENDID!$H$287</f>
        <v>502.87058823529406</v>
      </c>
      <c r="AG295" s="589">
        <f>$C$295+'TR31-34'!AF51*SISENDID!$H$287</f>
        <v>502.87058823529406</v>
      </c>
      <c r="AH295" s="589">
        <f>$C$295+'TR31-34'!AG51*SISENDID!$H$287</f>
        <v>502.87058823529406</v>
      </c>
      <c r="AI295" s="589">
        <f>$C$295+'TR31-34'!AH51*SISENDID!$H$287</f>
        <v>502.87058823529406</v>
      </c>
      <c r="AJ295" s="589">
        <f>$C$295+'TR31-34'!AI51*SISENDID!$H$287</f>
        <v>502.87058823529406</v>
      </c>
      <c r="AK295" s="589">
        <f>$C$295+'TR31-34'!AJ51*SISENDID!$H$287</f>
        <v>502.87058823529406</v>
      </c>
      <c r="AL295" s="589">
        <f>$C$295+'TR31-34'!AK51*SISENDID!$H$287</f>
        <v>502.87058823529406</v>
      </c>
      <c r="AM295" s="589">
        <f>$C$295+'TR31-34'!AL51*SISENDID!$H$287</f>
        <v>502.87058823529406</v>
      </c>
      <c r="AN295" s="589">
        <f>$C$295+'TR31-34'!AM51*SISENDID!$H$287</f>
        <v>502.87058823529406</v>
      </c>
      <c r="AO295" s="589">
        <f>$C$295+'TR31-34'!AN51*SISENDID!$H$287</f>
        <v>502.87058823529406</v>
      </c>
      <c r="AP295" s="589">
        <f>$C$295+'TR31-34'!AO51*SISENDID!$H$287</f>
        <v>502.87058823529406</v>
      </c>
      <c r="AQ295" s="589">
        <f>$C$295+'TR31-34'!AP51*SISENDID!$H$287</f>
        <v>502.87058823529406</v>
      </c>
      <c r="AR295" s="589">
        <f>$C$295+'TR31-34'!AQ51*SISENDID!$H$287</f>
        <v>502.87058823529406</v>
      </c>
      <c r="AS295" s="589">
        <f>$C$295+'TR31-34'!AR51*SISENDID!$H$287</f>
        <v>502.87058823529406</v>
      </c>
      <c r="AT295" s="589">
        <f>$C$295+'TR31-34'!AS51*SISENDID!$H$287</f>
        <v>502.87058823529406</v>
      </c>
      <c r="AU295" s="589">
        <f>$C$295+'TR31-34'!AT51*SISENDID!$H$287</f>
        <v>502.87058823529406</v>
      </c>
      <c r="AV295" s="589">
        <f>$C$295+'TR31-34'!AU51*SISENDID!$H$287</f>
        <v>502.87058823529406</v>
      </c>
      <c r="AW295" s="590">
        <f>$C$295+'TR31-34'!AV51*SISENDID!$H$287</f>
        <v>502.87058823529406</v>
      </c>
    </row>
    <row r="296" spans="2:49" hidden="1" outlineLevel="1" x14ac:dyDescent="0.25">
      <c r="B296" s="645" t="s">
        <v>745</v>
      </c>
      <c r="C296" s="592">
        <f>I288</f>
        <v>191.1764705882353</v>
      </c>
      <c r="D296" s="592">
        <f>C296</f>
        <v>191.1764705882353</v>
      </c>
      <c r="E296" s="592">
        <f>$C$296+'TR31-34'!D49*SISENDID!$H$288+'TR36,37,44'!D52*'TR36,37,44'!$C$12</f>
        <v>191.1764705882353</v>
      </c>
      <c r="F296" s="592">
        <f>$C$296+'TR31-34'!E49*SISENDID!$H$288+'TR36,37,44'!E52*'TR36,37,44'!$C$12</f>
        <v>191.1764705882353</v>
      </c>
      <c r="G296" s="592">
        <f>$C$296+'TR31-34'!F49*SISENDID!$H$288+'TR36,37,44'!F52*'TR36,37,44'!$C$12</f>
        <v>191.1764705882353</v>
      </c>
      <c r="H296" s="592">
        <f>$C$296+'TR31-34'!G49*SISENDID!$H$288+'TR36,37,44'!G52*'TR36,37,44'!$C$12</f>
        <v>191.1764705882353</v>
      </c>
      <c r="I296" s="592">
        <f>$C$296+'TR31-34'!H49*SISENDID!$H$288+'TR36,37,44'!H52*'TR36,37,44'!$C$12</f>
        <v>257.24705882352941</v>
      </c>
      <c r="J296" s="592">
        <f>$C$296+'TR31-34'!I49*SISENDID!$H$288+'TR36,37,44'!I52*'TR36,37,44'!$C$12</f>
        <v>349.01176470588234</v>
      </c>
      <c r="K296" s="592">
        <f>$C$296+'TR31-34'!J49*SISENDID!$H$288+'TR36,37,44'!J52*'TR36,37,44'!$C$12</f>
        <v>349.01176470588234</v>
      </c>
      <c r="L296" s="592">
        <f>$C$296+'TR31-34'!K49*SISENDID!$H$288+'TR36,37,44'!K52*'TR36,37,44'!$C$12</f>
        <v>349.01176470588234</v>
      </c>
      <c r="M296" s="592">
        <f>$C$296+'TR31-34'!L49*SISENDID!$H$288+'TR36,37,44'!L52*'TR36,37,44'!$C$12</f>
        <v>349.01176470588234</v>
      </c>
      <c r="N296" s="592">
        <f>$C$296+'TR31-34'!M49*SISENDID!$H$288+'TR36,37,44'!M52*'TR36,37,44'!$C$12</f>
        <v>349.01176470588234</v>
      </c>
      <c r="O296" s="592">
        <f>$C$296+'TR31-34'!N49*SISENDID!$H$288+'TR36,37,44'!N52*'TR36,37,44'!$C$12</f>
        <v>477.48235294117649</v>
      </c>
      <c r="P296" s="592">
        <f>$C$296+'TR31-34'!O49*SISENDID!$H$288+'TR36,37,44'!O52*'TR36,37,44'!$C$12</f>
        <v>477.48235294117649</v>
      </c>
      <c r="Q296" s="592">
        <f>$C$296+'TR31-34'!P49*SISENDID!$H$288+'TR36,37,44'!P52*'TR36,37,44'!$C$12</f>
        <v>477.48235294117649</v>
      </c>
      <c r="R296" s="592">
        <f>$C$296+'TR31-34'!Q49*SISENDID!$H$288+'TR36,37,44'!Q52*'TR36,37,44'!$C$12</f>
        <v>477.48235294117649</v>
      </c>
      <c r="S296" s="592">
        <f>$C$296+'TR31-34'!R49*SISENDID!$H$288+'TR36,37,44'!R52*'TR36,37,44'!$C$12</f>
        <v>477.48235294117649</v>
      </c>
      <c r="T296" s="592">
        <f>$C$296+'TR31-34'!S49*SISENDID!$H$288+'TR36,37,44'!S52*'TR36,37,44'!$C$12</f>
        <v>477.48235294117649</v>
      </c>
      <c r="U296" s="592">
        <f>$C$296+'TR31-34'!T49*SISENDID!$H$288+'TR36,37,44'!T52*'TR36,37,44'!$C$12</f>
        <v>477.48235294117649</v>
      </c>
      <c r="V296" s="592">
        <f>$C$296+'TR31-34'!U49*SISENDID!$H$288+'TR36,37,44'!U52*'TR36,37,44'!$C$12</f>
        <v>477.48235294117649</v>
      </c>
      <c r="W296" s="592">
        <f>$C$296+'TR31-34'!V49*SISENDID!$H$288+'TR36,37,44'!V52*'TR36,37,44'!$C$12</f>
        <v>477.48235294117649</v>
      </c>
      <c r="X296" s="592">
        <f>$C$296+'TR31-34'!W49*SISENDID!$H$288+'TR36,37,44'!W52*'TR36,37,44'!$C$12</f>
        <v>477.48235294117649</v>
      </c>
      <c r="Y296" s="592">
        <f>$C$296+'TR31-34'!X49*SISENDID!$H$288+'TR36,37,44'!X52*'TR36,37,44'!$C$12</f>
        <v>477.48235294117649</v>
      </c>
      <c r="Z296" s="592">
        <f>$C$296+'TR31-34'!Y49*SISENDID!$H$288+'TR36,37,44'!Y52*'TR36,37,44'!$C$12</f>
        <v>477.48235294117649</v>
      </c>
      <c r="AA296" s="592">
        <f>$C$296+'TR31-34'!Z49*SISENDID!$H$288+'TR36,37,44'!Z52*'TR36,37,44'!$C$12</f>
        <v>477.48235294117649</v>
      </c>
      <c r="AB296" s="592">
        <f>$C$296+'TR31-34'!AA49*SISENDID!$H$288+'TR36,37,44'!AA52*'TR36,37,44'!$C$12</f>
        <v>477.48235294117649</v>
      </c>
      <c r="AC296" s="592">
        <f>$C$296+'TR31-34'!AB49*SISENDID!$H$288+'TR36,37,44'!AB52*'TR36,37,44'!$C$12</f>
        <v>477.48235294117649</v>
      </c>
      <c r="AD296" s="592">
        <f>$C$296+'TR31-34'!AC49*SISENDID!$H$288+'TR36,37,44'!AC52*'TR36,37,44'!$C$12</f>
        <v>477.48235294117649</v>
      </c>
      <c r="AE296" s="592">
        <f>$C$296+'TR31-34'!AD49*SISENDID!$H$288+'TR36,37,44'!AD52*'TR36,37,44'!$C$12</f>
        <v>477.48235294117649</v>
      </c>
      <c r="AF296" s="592">
        <f>$C$296+'TR31-34'!AE49*SISENDID!$H$288+'TR36,37,44'!AE52*'TR36,37,44'!$C$12</f>
        <v>477.48235294117649</v>
      </c>
      <c r="AG296" s="592">
        <f>$C$296+'TR31-34'!AF49*SISENDID!$H$288+'TR36,37,44'!AF52*'TR36,37,44'!$C$12</f>
        <v>477.48235294117649</v>
      </c>
      <c r="AH296" s="592">
        <f>$C$296+'TR31-34'!AG49*SISENDID!$H$288+'TR36,37,44'!AG52*'TR36,37,44'!$C$12</f>
        <v>477.48235294117649</v>
      </c>
      <c r="AI296" s="592">
        <f>$C$296+'TR31-34'!AH49*SISENDID!$H$288+'TR36,37,44'!AH52*'TR36,37,44'!$C$12</f>
        <v>477.48235294117649</v>
      </c>
      <c r="AJ296" s="592">
        <f>$C$296+'TR31-34'!AI49*SISENDID!$H$288+'TR36,37,44'!AI52*'TR36,37,44'!$C$12</f>
        <v>477.48235294117649</v>
      </c>
      <c r="AK296" s="592">
        <f>$C$296+'TR31-34'!AJ49*SISENDID!$H$288+'TR36,37,44'!AJ52*'TR36,37,44'!$C$12</f>
        <v>477.48235294117649</v>
      </c>
      <c r="AL296" s="592">
        <f>$C$296+'TR31-34'!AK49*SISENDID!$H$288+'TR36,37,44'!AK52*'TR36,37,44'!$C$12</f>
        <v>477.48235294117649</v>
      </c>
      <c r="AM296" s="592">
        <f>$C$296+'TR31-34'!AL49*SISENDID!$H$288+'TR36,37,44'!AL52*'TR36,37,44'!$C$12</f>
        <v>477.48235294117649</v>
      </c>
      <c r="AN296" s="592">
        <f>$C$296+'TR31-34'!AM49*SISENDID!$H$288+'TR36,37,44'!AM52*'TR36,37,44'!$C$12</f>
        <v>477.48235294117649</v>
      </c>
      <c r="AO296" s="592">
        <f>$C$296+'TR31-34'!AN49*SISENDID!$H$288+'TR36,37,44'!AN52*'TR36,37,44'!$C$12</f>
        <v>477.48235294117649</v>
      </c>
      <c r="AP296" s="592">
        <f>$C$296+'TR31-34'!AO49*SISENDID!$H$288+'TR36,37,44'!AO52*'TR36,37,44'!$C$12</f>
        <v>477.48235294117649</v>
      </c>
      <c r="AQ296" s="592">
        <f>$C$296+'TR31-34'!AP49*SISENDID!$H$288+'TR36,37,44'!AP52*'TR36,37,44'!$C$12</f>
        <v>477.48235294117649</v>
      </c>
      <c r="AR296" s="592">
        <f>$C$296+'TR31-34'!AQ49*SISENDID!$H$288+'TR36,37,44'!AQ52*'TR36,37,44'!$C$12</f>
        <v>477.48235294117649</v>
      </c>
      <c r="AS296" s="592">
        <f>$C$296+'TR31-34'!AR49*SISENDID!$H$288+'TR36,37,44'!AR52*'TR36,37,44'!$C$12</f>
        <v>477.48235294117649</v>
      </c>
      <c r="AT296" s="592">
        <f>$C$296+'TR31-34'!AS49*SISENDID!$H$288+'TR36,37,44'!AS52*'TR36,37,44'!$C$12</f>
        <v>477.48235294117649</v>
      </c>
      <c r="AU296" s="592">
        <f>$C$296+'TR31-34'!AT49*SISENDID!$H$288+'TR36,37,44'!AT52*'TR36,37,44'!$C$12</f>
        <v>477.48235294117649</v>
      </c>
      <c r="AV296" s="592">
        <f>$C$296+'TR31-34'!AU49*SISENDID!$H$288+'TR36,37,44'!AU52*'TR36,37,44'!$C$12</f>
        <v>477.48235294117649</v>
      </c>
      <c r="AW296" s="593">
        <f>$C$296+'TR31-34'!AV49*SISENDID!$H$288+'TR36,37,44'!AV52*'TR36,37,44'!$C$12</f>
        <v>477.48235294117649</v>
      </c>
    </row>
    <row r="297" spans="2:49" s="38" customFormat="1" hidden="1" outlineLevel="1" x14ac:dyDescent="0.25">
      <c r="B297" s="653" t="s">
        <v>445</v>
      </c>
      <c r="C297" s="415">
        <f>SUM(C293:C296)</f>
        <v>3395.2941176470586</v>
      </c>
      <c r="D297" s="415">
        <f t="shared" ref="D297:AK297" si="91">SUM(D293:D296)</f>
        <v>3395.2941176470586</v>
      </c>
      <c r="E297" s="415">
        <f t="shared" si="91"/>
        <v>3395.2941176470586</v>
      </c>
      <c r="F297" s="415">
        <f t="shared" si="91"/>
        <v>3392.916878218487</v>
      </c>
      <c r="G297" s="415">
        <f t="shared" si="91"/>
        <v>3387.0587959327731</v>
      </c>
      <c r="H297" s="415">
        <f t="shared" si="91"/>
        <v>3381.2007136470584</v>
      </c>
      <c r="I297" s="415">
        <f t="shared" si="91"/>
        <v>3284.2564599327725</v>
      </c>
      <c r="J297" s="415">
        <f t="shared" si="91"/>
        <v>3330.310982689075</v>
      </c>
      <c r="K297" s="415">
        <f t="shared" si="91"/>
        <v>3326.8301398319322</v>
      </c>
      <c r="L297" s="415">
        <f t="shared" si="91"/>
        <v>3323.3492969747895</v>
      </c>
      <c r="M297" s="415">
        <f t="shared" si="91"/>
        <v>3319.8684541176463</v>
      </c>
      <c r="N297" s="415">
        <f t="shared" si="91"/>
        <v>3316.3876112605035</v>
      </c>
      <c r="O297" s="415">
        <f t="shared" si="91"/>
        <v>3452.3563482352943</v>
      </c>
      <c r="P297" s="415">
        <f t="shared" si="91"/>
        <v>3448.875505378151</v>
      </c>
      <c r="Q297" s="415">
        <f t="shared" si="91"/>
        <v>3403.6076482352942</v>
      </c>
      <c r="R297" s="415">
        <f t="shared" si="91"/>
        <v>3403.6076482352942</v>
      </c>
      <c r="S297" s="415">
        <f t="shared" si="91"/>
        <v>3403.6076482352942</v>
      </c>
      <c r="T297" s="415">
        <f t="shared" si="91"/>
        <v>3403.6076482352942</v>
      </c>
      <c r="U297" s="415">
        <f t="shared" si="91"/>
        <v>3403.6076482352942</v>
      </c>
      <c r="V297" s="415">
        <f t="shared" si="91"/>
        <v>3403.6076482352942</v>
      </c>
      <c r="W297" s="415">
        <f t="shared" si="91"/>
        <v>3403.6076482352942</v>
      </c>
      <c r="X297" s="415">
        <f t="shared" si="91"/>
        <v>3403.6076482352942</v>
      </c>
      <c r="Y297" s="415">
        <f t="shared" si="91"/>
        <v>3403.6076482352937</v>
      </c>
      <c r="Z297" s="415">
        <f t="shared" si="91"/>
        <v>3403.6076482352937</v>
      </c>
      <c r="AA297" s="415">
        <f t="shared" si="91"/>
        <v>3403.6076482352937</v>
      </c>
      <c r="AB297" s="415">
        <f t="shared" si="91"/>
        <v>3403.6076482352937</v>
      </c>
      <c r="AC297" s="415">
        <f t="shared" si="91"/>
        <v>3403.6076482352942</v>
      </c>
      <c r="AD297" s="415">
        <f t="shared" si="91"/>
        <v>3403.6076482352942</v>
      </c>
      <c r="AE297" s="415">
        <f t="shared" si="91"/>
        <v>3403.6076482352942</v>
      </c>
      <c r="AF297" s="415">
        <f t="shared" si="91"/>
        <v>3403.6076482352942</v>
      </c>
      <c r="AG297" s="415">
        <f t="shared" si="91"/>
        <v>3403.6076482352942</v>
      </c>
      <c r="AH297" s="415">
        <f t="shared" si="91"/>
        <v>3403.6076482352942</v>
      </c>
      <c r="AI297" s="415">
        <f t="shared" si="91"/>
        <v>3403.6076482352942</v>
      </c>
      <c r="AJ297" s="415">
        <f t="shared" si="91"/>
        <v>3403.6076482352942</v>
      </c>
      <c r="AK297" s="415">
        <f t="shared" si="91"/>
        <v>3403.6076482352942</v>
      </c>
      <c r="AL297" s="415">
        <f>SUM(AL293:AL296)</f>
        <v>3403.6076482352942</v>
      </c>
      <c r="AM297" s="415">
        <f t="shared" ref="AM297" si="92">SUM(AM293:AM296)</f>
        <v>3403.6076482352942</v>
      </c>
      <c r="AN297" s="415">
        <f t="shared" ref="AN297" si="93">SUM(AN293:AN296)</f>
        <v>3403.6076482352942</v>
      </c>
      <c r="AO297" s="415">
        <f t="shared" ref="AO297" si="94">SUM(AO293:AO296)</f>
        <v>3403.6076482352942</v>
      </c>
      <c r="AP297" s="415">
        <f t="shared" ref="AP297" si="95">SUM(AP293:AP296)</f>
        <v>3403.6076482352942</v>
      </c>
      <c r="AQ297" s="415">
        <f t="shared" ref="AQ297" si="96">SUM(AQ293:AQ296)</f>
        <v>3403.6076482352942</v>
      </c>
      <c r="AR297" s="415">
        <f t="shared" ref="AR297" si="97">SUM(AR293:AR296)</f>
        <v>3403.6076482352942</v>
      </c>
      <c r="AS297" s="415">
        <f t="shared" ref="AS297" si="98">SUM(AS293:AS296)</f>
        <v>3403.6076482352942</v>
      </c>
      <c r="AT297" s="415">
        <f t="shared" ref="AT297" si="99">SUM(AT293:AT296)</f>
        <v>3403.6076482352942</v>
      </c>
      <c r="AU297" s="415">
        <f t="shared" ref="AU297" si="100">SUM(AU293:AU296)</f>
        <v>3403.6076482352942</v>
      </c>
      <c r="AV297" s="415">
        <f t="shared" ref="AV297" si="101">SUM(AV293:AV296)</f>
        <v>3403.6076482352942</v>
      </c>
      <c r="AW297" s="416">
        <f t="shared" ref="AW297" si="102">SUM(AW293:AW296)</f>
        <v>3403.6076482352942</v>
      </c>
    </row>
    <row r="298" spans="2:49" hidden="1" outlineLevel="1" x14ac:dyDescent="0.25">
      <c r="B298" s="300" t="s">
        <v>746</v>
      </c>
      <c r="AH298">
        <f>AC300/C300-1</f>
        <v>-0.62117259615384635</v>
      </c>
    </row>
    <row r="299" spans="2:49" hidden="1" outlineLevel="1" x14ac:dyDescent="0.25">
      <c r="B299" s="610"/>
      <c r="C299" s="600">
        <v>2024</v>
      </c>
      <c r="D299" s="600">
        <v>2025</v>
      </c>
      <c r="E299" s="600">
        <v>2026</v>
      </c>
      <c r="F299" s="600">
        <v>2027</v>
      </c>
      <c r="G299" s="600">
        <v>2028</v>
      </c>
      <c r="H299" s="600">
        <v>2029</v>
      </c>
      <c r="I299" s="600">
        <v>2030</v>
      </c>
      <c r="J299" s="600">
        <v>2031</v>
      </c>
      <c r="K299" s="600">
        <v>2032</v>
      </c>
      <c r="L299" s="600">
        <v>2033</v>
      </c>
      <c r="M299" s="600">
        <v>2034</v>
      </c>
      <c r="N299" s="600">
        <v>2035</v>
      </c>
      <c r="O299" s="600">
        <v>2036</v>
      </c>
      <c r="P299" s="600">
        <v>2037</v>
      </c>
      <c r="Q299" s="600">
        <v>2038</v>
      </c>
      <c r="R299" s="600">
        <v>2039</v>
      </c>
      <c r="S299" s="600">
        <v>2040</v>
      </c>
      <c r="T299" s="600">
        <v>2041</v>
      </c>
      <c r="U299" s="600">
        <v>2042</v>
      </c>
      <c r="V299" s="600">
        <v>2043</v>
      </c>
      <c r="W299" s="600">
        <v>2044</v>
      </c>
      <c r="X299" s="600">
        <v>2045</v>
      </c>
      <c r="Y299" s="600">
        <v>2046</v>
      </c>
      <c r="Z299" s="600">
        <v>2047</v>
      </c>
      <c r="AA299" s="600">
        <v>2048</v>
      </c>
      <c r="AB299" s="600">
        <v>2049</v>
      </c>
      <c r="AC299" s="600">
        <v>2050</v>
      </c>
      <c r="AD299" s="600">
        <v>2051</v>
      </c>
      <c r="AE299" s="600">
        <v>2052</v>
      </c>
      <c r="AF299" s="600">
        <v>2053</v>
      </c>
      <c r="AG299" s="600">
        <v>2054</v>
      </c>
      <c r="AH299" s="600">
        <v>2055</v>
      </c>
      <c r="AI299" s="600">
        <v>2056</v>
      </c>
      <c r="AJ299" s="600">
        <v>2057</v>
      </c>
      <c r="AK299" s="600">
        <v>2058</v>
      </c>
      <c r="AL299" s="600">
        <v>2059</v>
      </c>
      <c r="AM299" s="600">
        <v>2060</v>
      </c>
      <c r="AN299" s="600">
        <v>2061</v>
      </c>
      <c r="AO299" s="600">
        <v>2062</v>
      </c>
      <c r="AP299" s="600">
        <v>2063</v>
      </c>
      <c r="AQ299" s="600">
        <v>2064</v>
      </c>
      <c r="AR299" s="600">
        <v>2065</v>
      </c>
      <c r="AS299" s="600">
        <v>2066</v>
      </c>
      <c r="AT299" s="600">
        <v>2067</v>
      </c>
      <c r="AU299" s="600">
        <v>2068</v>
      </c>
      <c r="AV299" s="600">
        <v>2069</v>
      </c>
      <c r="AW299" s="601">
        <v>2070</v>
      </c>
    </row>
    <row r="300" spans="2:49" hidden="1" outlineLevel="1" x14ac:dyDescent="0.25">
      <c r="B300" s="639" t="s">
        <v>736</v>
      </c>
      <c r="C300" s="589">
        <f>C293/H285</f>
        <v>367.05882352941171</v>
      </c>
      <c r="D300" s="589">
        <f>$C$300</f>
        <v>367.05882352941171</v>
      </c>
      <c r="E300" s="654">
        <f>$C$300-'TR1-5'!D81-'TR11'!D46-'TR13-18'!D53-'TR19-21'!D54-'TR22-30'!D59-'TR31-34'!D49-'TR31-34'!D51-'TR31-34'!D53-'TR36,37,44'!D51</f>
        <v>367.05882352941171</v>
      </c>
      <c r="F300" s="654">
        <f>$C$300-'TR1-5'!E81-'TR11'!E46-'TR13-18'!E53-'TR19-21'!E54-'TR22-30'!E59-'TR31-34'!E49-'TR31-34'!E51-'TR31-34'!E53-'TR36,37,44'!E51</f>
        <v>365.72682352941172</v>
      </c>
      <c r="G300" s="654">
        <f>$C$300-'TR1-5'!F81-'TR11'!F46-'TR13-18'!F53-'TR19-21'!F54-'TR22-30'!F59-'TR31-34'!F49-'TR31-34'!F51-'TR31-34'!F53-'TR36,37,44'!F51</f>
        <v>363.09482352941171</v>
      </c>
      <c r="H300" s="654">
        <f>$C$300-'TR1-5'!G81-'TR11'!G46-'TR13-18'!G53-'TR19-21'!G54-'TR22-30'!G59-'TR31-34'!G49-'TR31-34'!G51-'TR31-34'!G53-'TR36,37,44'!G51</f>
        <v>360.46282352941171</v>
      </c>
      <c r="I300" s="654">
        <f>$C$300-'TR1-5'!H81-'TR11'!H46-'TR13-18'!H53-'TR19-21'!H54-'TR22-30'!H59-'TR31-34'!H49-'TR31-34'!H51-'TR31-34'!H53-'TR36,37,44'!H51</f>
        <v>313.78376470588233</v>
      </c>
      <c r="J300" s="654">
        <f>$C$300-'TR1-5'!I81-'TR11'!I46-'TR13-18'!I53-'TR19-21'!I54-'TR22-30'!I59-'TR31-34'!I49-'TR31-34'!I51-'TR31-34'!I53-'TR36,37,44'!I51</f>
        <v>288.79973529411751</v>
      </c>
      <c r="K300" s="654">
        <f>$C$300-'TR1-5'!J81-'TR11'!J46-'TR13-18'!J53-'TR19-21'!J54-'TR22-30'!J59-'TR31-34'!J49-'TR31-34'!J51-'TR31-34'!J53-'TR36,37,44'!J51</f>
        <v>287.4997352941175</v>
      </c>
      <c r="L300" s="654">
        <f>$C$300-'TR1-5'!K81-'TR11'!K46-'TR13-18'!K53-'TR19-21'!K54-'TR22-30'!K59-'TR31-34'!K49-'TR31-34'!K51-'TR31-34'!K53-'TR36,37,44'!K51</f>
        <v>286.19973529411749</v>
      </c>
      <c r="M300" s="654">
        <f>$C$300-'TR1-5'!L81-'TR11'!L46-'TR13-18'!L53-'TR19-21'!L54-'TR22-30'!L59-'TR31-34'!L49-'TR31-34'!L51-'TR31-34'!L53-'TR36,37,44'!L51</f>
        <v>284.89973529411748</v>
      </c>
      <c r="N300" s="654">
        <f>$C$300-'TR1-5'!M81-'TR11'!M46-'TR13-18'!M53-'TR19-21'!M54-'TR22-30'!M59-'TR31-34'!M49-'TR31-34'!M51-'TR31-34'!M53-'TR36,37,44'!M51</f>
        <v>283.59973529411752</v>
      </c>
      <c r="O300" s="654">
        <f>$C$300-'TR1-5'!N81-'TR11'!N46-'TR13-18'!N53-'TR19-21'!N54-'TR22-30'!N59-'TR31-34'!N49-'TR31-34'!N51-'TR31-34'!N53-'TR36,37,44'!N51</f>
        <v>214.16444117647049</v>
      </c>
      <c r="P300" s="654">
        <f>$C$300-'TR1-5'!O81-'TR11'!O46-'TR13-18'!O53-'TR19-21'!O54-'TR22-30'!O59-'TR31-34'!O49-'TR31-34'!O51-'TR31-34'!O53-'TR36,37,44'!O51</f>
        <v>186.99506617647049</v>
      </c>
      <c r="Q300" s="654">
        <f>$C$300-'TR1-5'!P81-'TR11'!P46-'TR13-18'!P53-'TR19-21'!P54-'TR22-30'!P59-'TR31-34'!P49-'TR31-34'!P51-'TR31-34'!P53-'TR36,37,44'!P51</f>
        <v>174.32006617647048</v>
      </c>
      <c r="R300" s="654">
        <f>$C$300-'TR1-5'!Q81-'TR11'!Q46-'TR13-18'!Q53-'TR19-21'!Q54-'TR22-30'!Q59-'TR31-34'!Q49-'TR31-34'!Q51-'TR31-34'!Q53-'TR36,37,44'!Q51</f>
        <v>174.32006617647048</v>
      </c>
      <c r="S300" s="654">
        <f>$C$300-'TR1-5'!R81-'TR11'!R46-'TR13-18'!R53-'TR19-21'!R54-'TR22-30'!R59-'TR31-34'!R49-'TR31-34'!R51-'TR31-34'!R53-'TR36,37,44'!R51</f>
        <v>150.93725367647048</v>
      </c>
      <c r="T300" s="654">
        <f>$C$300-'TR1-5'!S81-'TR11'!S46-'TR13-18'!S53-'TR19-21'!S54-'TR22-30'!S59-'TR31-34'!S49-'TR31-34'!S51-'TR31-34'!S53-'TR36,37,44'!S51</f>
        <v>150.93725367647048</v>
      </c>
      <c r="U300" s="654">
        <f>$C$300-'TR1-5'!T81-'TR11'!T46-'TR13-18'!T53-'TR19-21'!T54-'TR22-30'!T59-'TR31-34'!T49-'TR31-34'!T51-'TR31-34'!T53-'TR36,37,44'!T51</f>
        <v>150.93725367647048</v>
      </c>
      <c r="V300" s="654">
        <f>$C$300-'TR1-5'!U81-'TR11'!U46-'TR13-18'!U53-'TR19-21'!U54-'TR22-30'!U59-'TR31-34'!U49-'TR31-34'!U51-'TR31-34'!U53-'TR36,37,44'!U51</f>
        <v>147.2872536764705</v>
      </c>
      <c r="W300" s="654">
        <f>$C$300-'TR1-5'!V81-'TR11'!V46-'TR13-18'!V53-'TR19-21'!V54-'TR22-30'!V59-'TR31-34'!V49-'TR31-34'!V51-'TR31-34'!V53-'TR36,37,44'!V51</f>
        <v>147.2872536764705</v>
      </c>
      <c r="X300" s="654">
        <f>$C$300-'TR1-5'!W81-'TR11'!W46-'TR13-18'!W53-'TR19-21'!W54-'TR22-30'!W59-'TR31-34'!W49-'TR31-34'!W51-'TR31-34'!W53-'TR36,37,44'!W51</f>
        <v>146.7169411764705</v>
      </c>
      <c r="Y300" s="654">
        <f>$C$300-'TR1-5'!X81-'TR11'!X46-'TR13-18'!X53-'TR19-21'!X54-'TR22-30'!X59-'TR31-34'!X49-'TR31-34'!X51-'TR31-34'!X53-'TR36,37,44'!X51</f>
        <v>146.7169411764705</v>
      </c>
      <c r="Z300" s="654">
        <f>$C$300-'TR1-5'!Y81-'TR11'!Y46-'TR13-18'!Y53-'TR19-21'!Y54-'TR22-30'!Y59-'TR31-34'!Y49-'TR31-34'!Y51-'TR31-34'!Y53-'TR36,37,44'!Y51</f>
        <v>139.05194117647048</v>
      </c>
      <c r="AA300" s="654">
        <f>$C$300-'TR1-5'!Z81-'TR11'!Z46-'TR13-18'!Z53-'TR19-21'!Z54-'TR22-30'!Z59-'TR31-34'!Z49-'TR31-34'!Z51-'TR31-34'!Z53-'TR36,37,44'!Z51</f>
        <v>139.05194117647048</v>
      </c>
      <c r="AB300" s="654">
        <f>$C$300-'TR1-5'!AA81-'TR11'!AA46-'TR13-18'!AA53-'TR19-21'!AA54-'TR22-30'!AA59-'TR31-34'!AA49-'TR31-34'!AA51-'TR31-34'!AA53-'TR36,37,44'!AA51</f>
        <v>139.05194117647048</v>
      </c>
      <c r="AC300" s="654">
        <f>$C$300-'TR1-5'!AB81-'TR11'!AB46-'TR13-18'!AB53-'TR19-21'!AB54-'TR22-30'!AB59-'TR31-34'!AB49-'TR31-34'!AB51-'TR31-34'!AB53-'TR36,37,44'!AB51</f>
        <v>139.05194117647048</v>
      </c>
      <c r="AD300" s="654">
        <f>$C$300-'TR1-5'!AC81-'TR11'!AC46-'TR13-18'!AC53-'TR19-21'!AC54-'TR22-30'!AC59-'TR31-34'!AC49-'TR31-34'!AC51-'TR31-34'!AC53-'TR36,37,44'!AC51</f>
        <v>134.94569117647049</v>
      </c>
      <c r="AE300" s="654">
        <f>$C$300-'TR1-5'!AD81-'TR11'!AD46-'TR13-18'!AD53-'TR19-21'!AD54-'TR22-30'!AD59-'TR31-34'!AD49-'TR31-34'!AD51-'TR31-34'!AD53-'TR36,37,44'!AD51</f>
        <v>134.94569117647049</v>
      </c>
      <c r="AF300" s="654">
        <f>$C$300-'TR1-5'!AE81-'TR11'!AE46-'TR13-18'!AE53-'TR19-21'!AE54-'TR22-30'!AE59-'TR31-34'!AE49-'TR31-34'!AE51-'TR31-34'!AE53-'TR36,37,44'!AE51</f>
        <v>134.94569117647049</v>
      </c>
      <c r="AG300" s="654">
        <f>$C$300-'TR1-5'!AF81-'TR11'!AF46-'TR13-18'!AF53-'TR19-21'!AF54-'TR22-30'!AF59-'TR31-34'!AF49-'TR31-34'!AF51-'TR31-34'!AF53-'TR36,37,44'!AF51</f>
        <v>134.94569117647049</v>
      </c>
      <c r="AH300" s="654">
        <f>$C$300-'TR1-5'!AG81-'TR11'!AG46-'TR13-18'!AG53-'TR19-21'!AG54-'TR22-30'!AG59-'TR31-34'!AG49-'TR31-34'!AG51-'TR31-34'!AG53-'TR36,37,44'!AG51</f>
        <v>134.94569117647049</v>
      </c>
      <c r="AI300" s="654">
        <f>$C$300-'TR1-5'!AH81-'TR11'!AH46-'TR13-18'!AH53-'TR19-21'!AH54-'TR22-30'!AH59-'TR31-34'!AH49-'TR31-34'!AH51-'TR31-34'!AH53-'TR36,37,44'!AH51</f>
        <v>134.94569117647049</v>
      </c>
      <c r="AJ300" s="654">
        <f>$C$300-'TR1-5'!AI81-'TR11'!AI46-'TR13-18'!AI53-'TR19-21'!AI54-'TR22-30'!AI59-'TR31-34'!AI49-'TR31-34'!AI51-'TR31-34'!AI53-'TR36,37,44'!AI51</f>
        <v>134.94569117647049</v>
      </c>
      <c r="AK300" s="654">
        <f>$C$300-'TR1-5'!AJ81-'TR11'!AJ46-'TR13-18'!AJ53-'TR19-21'!AJ54-'TR22-30'!AJ59-'TR31-34'!AJ49-'TR31-34'!AJ51-'TR31-34'!AJ53-'TR36,37,44'!AJ51</f>
        <v>134.94569117647049</v>
      </c>
      <c r="AL300" s="654">
        <f>$C$300-'TR1-5'!AK81-'TR11'!AK46-'TR13-18'!AK53-'TR19-21'!AK54-'TR22-30'!AK59-'TR31-34'!AK49-'TR31-34'!AK51-'TR31-34'!AK53-'TR36,37,44'!AK51</f>
        <v>134.94569117647049</v>
      </c>
      <c r="AM300" s="654">
        <f>$C$300-'TR1-5'!AL81-'TR11'!AL46-'TR13-18'!AL53-'TR19-21'!AL54-'TR22-30'!AL59-'TR31-34'!AL49-'TR31-34'!AL51-'TR31-34'!AL53-'TR36,37,44'!AL51</f>
        <v>134.94569117647049</v>
      </c>
      <c r="AN300" s="654">
        <f>$C$300-'TR1-5'!AM81-'TR11'!AM46-'TR13-18'!AM53-'TR19-21'!AM54-'TR22-30'!AM59-'TR31-34'!AM49-'TR31-34'!AM51-'TR31-34'!AM53-'TR36,37,44'!AM51</f>
        <v>134.94569117647049</v>
      </c>
      <c r="AO300" s="654">
        <f>$C$300-'TR1-5'!AN81-'TR11'!AN46-'TR13-18'!AN53-'TR19-21'!AN54-'TR22-30'!AN59-'TR31-34'!AN49-'TR31-34'!AN51-'TR31-34'!AN53-'TR36,37,44'!AN51</f>
        <v>134.94569117647049</v>
      </c>
      <c r="AP300" s="654">
        <f>$C$300-'TR1-5'!AO81-'TR11'!AO46-'TR13-18'!AO53-'TR19-21'!AO54-'TR22-30'!AO59-'TR31-34'!AO49-'TR31-34'!AO51-'TR31-34'!AO53-'TR36,37,44'!AO51</f>
        <v>134.94569117647049</v>
      </c>
      <c r="AQ300" s="654">
        <f>$C$300-'TR1-5'!AP81-'TR11'!AP46-'TR13-18'!AP53-'TR19-21'!AP54-'TR22-30'!AP59-'TR31-34'!AP49-'TR31-34'!AP51-'TR31-34'!AP53-'TR36,37,44'!AP51</f>
        <v>134.94569117647049</v>
      </c>
      <c r="AR300" s="654">
        <f>$C$300-'TR1-5'!AQ81-'TR11'!AQ46-'TR13-18'!AQ53-'TR19-21'!AQ54-'TR22-30'!AQ59-'TR31-34'!AQ49-'TR31-34'!AQ51-'TR31-34'!AQ53-'TR36,37,44'!AQ51</f>
        <v>134.94569117647049</v>
      </c>
      <c r="AS300" s="654">
        <f>$C$300-'TR1-5'!AR81-'TR11'!AR46-'TR13-18'!AR53-'TR19-21'!AR54-'TR22-30'!AR59-'TR31-34'!AR49-'TR31-34'!AR51-'TR31-34'!AR53-'TR36,37,44'!AR51</f>
        <v>134.94569117647049</v>
      </c>
      <c r="AT300" s="654">
        <f>$C$300-'TR1-5'!AS81-'TR11'!AS46-'TR13-18'!AS53-'TR19-21'!AS54-'TR22-30'!AS59-'TR31-34'!AS49-'TR31-34'!AS51-'TR31-34'!AS53-'TR36,37,44'!AS51</f>
        <v>134.94569117647049</v>
      </c>
      <c r="AU300" s="654">
        <f>$C$300-'TR1-5'!AT81-'TR11'!AT46-'TR13-18'!AT53-'TR19-21'!AT54-'TR22-30'!AT59-'TR31-34'!AT49-'TR31-34'!AT51-'TR31-34'!AT53-'TR36,37,44'!AT51</f>
        <v>134.94569117647049</v>
      </c>
      <c r="AV300" s="654">
        <f>$C$300-'TR1-5'!AU81-'TR11'!AU46-'TR13-18'!AU53-'TR19-21'!AU54-'TR22-30'!AU59-'TR31-34'!AU49-'TR31-34'!AU51-'TR31-34'!AU53-'TR36,37,44'!AU51</f>
        <v>134.94569117647049</v>
      </c>
      <c r="AW300" s="655">
        <f>$C$300-'TR1-5'!AV81-'TR11'!AV46-'TR13-18'!AV53-'TR19-21'!AV54-'TR22-30'!AV59-'TR31-34'!AV49-'TR31-34'!AV51-'TR31-34'!AV53-'TR36,37,44'!AV51</f>
        <v>134.94569117647049</v>
      </c>
    </row>
    <row r="301" spans="2:49" hidden="1" outlineLevel="1" x14ac:dyDescent="0.25">
      <c r="B301" s="645" t="s">
        <v>737</v>
      </c>
      <c r="C301" s="592">
        <f>C294/H286</f>
        <v>130</v>
      </c>
      <c r="D301" s="592">
        <f>$C$301</f>
        <v>130</v>
      </c>
      <c r="E301" s="592">
        <f>$C$301+'TR1-5'!D81+'TR11'!D46+'TR13-18'!D53+'TR19-21'!D54+'TR31-34'!D53+'TR36,37,44'!D53</f>
        <v>130</v>
      </c>
      <c r="F301" s="592">
        <f>$C$301+'TR1-5'!E81+'TR11'!E46+'TR13-18'!E53+'TR19-21'!E54+'TR31-34'!E53+'TR36,37,44'!E53</f>
        <v>131.33199999999999</v>
      </c>
      <c r="G301" s="592">
        <f>$C$301+'TR1-5'!F81+'TR11'!F46+'TR13-18'!F53+'TR19-21'!F54+'TR31-34'!F53+'TR36,37,44'!F53</f>
        <v>133.964</v>
      </c>
      <c r="H301" s="592">
        <f>$C$301+'TR1-5'!G81+'TR11'!G46+'TR13-18'!G53+'TR19-21'!G54+'TR31-34'!G53+'TR36,37,44'!G53</f>
        <v>136.596</v>
      </c>
      <c r="I301" s="592">
        <f>$C$301+'TR1-5'!H81+'TR11'!H46+'TR13-18'!H53+'TR19-21'!H54+'TR31-34'!H53+'TR36,37,44'!H53</f>
        <v>170.06094117647058</v>
      </c>
      <c r="J301" s="592">
        <f>$C$301+'TR1-5'!I81+'TR11'!I46+'TR13-18'!I53+'TR19-21'!I54+'TR31-34'!I53+'TR36,37,44'!I53</f>
        <v>173.02144117647055</v>
      </c>
      <c r="K301" s="592">
        <f>$C$301+'TR1-5'!J81+'TR11'!J46+'TR13-18'!J53+'TR19-21'!J54+'TR31-34'!J53+'TR36,37,44'!J53</f>
        <v>174.32144117647056</v>
      </c>
      <c r="L301" s="592">
        <f>$C$301+'TR1-5'!K81+'TR11'!K46+'TR13-18'!K53+'TR19-21'!K54+'TR31-34'!K53+'TR36,37,44'!K53</f>
        <v>175.62144117647057</v>
      </c>
      <c r="M301" s="592">
        <f>$C$301+'TR1-5'!L81+'TR11'!L46+'TR13-18'!L53+'TR19-21'!L54+'TR31-34'!L53+'TR36,37,44'!L53</f>
        <v>176.92144117647058</v>
      </c>
      <c r="N301" s="592">
        <f>$C$301+'TR1-5'!M81+'TR11'!M46+'TR13-18'!M53+'TR19-21'!M54+'TR31-34'!M53+'TR36,37,44'!M53</f>
        <v>178.22144117647059</v>
      </c>
      <c r="O301" s="592">
        <f>$C$301+'TR1-5'!N81+'TR11'!N46+'TR13-18'!N53+'TR19-21'!N54+'TR31-34'!N53+'TR36,37,44'!N53</f>
        <v>197.87438235294115</v>
      </c>
      <c r="P301" s="592">
        <f>$C$301+'TR1-5'!O81+'TR11'!O46+'TR13-18'!O53+'TR19-21'!O54+'TR31-34'!O53+'TR36,37,44'!O53</f>
        <v>225.04375735294116</v>
      </c>
      <c r="Q301" s="592">
        <f>$C$301+'TR1-5'!P81+'TR11'!P46+'TR13-18'!P53+'TR19-21'!P54+'TR31-34'!P53+'TR36,37,44'!P53</f>
        <v>237.71875735294117</v>
      </c>
      <c r="R301" s="592">
        <f>$C$301+'TR1-5'!Q81+'TR11'!Q46+'TR13-18'!Q53+'TR19-21'!Q54+'TR31-34'!Q53+'TR36,37,44'!Q53</f>
        <v>237.71875735294117</v>
      </c>
      <c r="S301" s="592">
        <f>$C$301+'TR1-5'!R81+'TR11'!R46+'TR13-18'!R53+'TR19-21'!R54+'TR31-34'!R53+'TR36,37,44'!R53</f>
        <v>261.10156985294117</v>
      </c>
      <c r="T301" s="592">
        <f>$C$301+'TR1-5'!S81+'TR11'!S46+'TR13-18'!S53+'TR19-21'!S54+'TR31-34'!S53+'TR36,37,44'!S53</f>
        <v>261.10156985294117</v>
      </c>
      <c r="U301" s="592">
        <f>$C$301+'TR1-5'!T81+'TR11'!T46+'TR13-18'!T53+'TR19-21'!T54+'TR31-34'!T53+'TR36,37,44'!T53</f>
        <v>261.10156985294117</v>
      </c>
      <c r="V301" s="592">
        <f>$C$301+'TR1-5'!U81+'TR11'!U46+'TR13-18'!U53+'TR19-21'!U54+'TR31-34'!U53+'TR36,37,44'!U53</f>
        <v>264.75156985294115</v>
      </c>
      <c r="W301" s="592">
        <f>$C$301+'TR1-5'!V81+'TR11'!V46+'TR13-18'!V53+'TR19-21'!V54+'TR31-34'!V53+'TR36,37,44'!V53</f>
        <v>264.75156985294115</v>
      </c>
      <c r="X301" s="592">
        <f>$C$301+'TR1-5'!W81+'TR11'!W46+'TR13-18'!W53+'TR19-21'!W54+'TR31-34'!W53+'TR36,37,44'!W53</f>
        <v>265.32188235294115</v>
      </c>
      <c r="Y301" s="592">
        <f>$C$301+'TR1-5'!X81+'TR11'!X46+'TR13-18'!X53+'TR19-21'!X54+'TR31-34'!X53+'TR36,37,44'!X53</f>
        <v>265.32188235294115</v>
      </c>
      <c r="Z301" s="592">
        <f>$C$301+'TR1-5'!Y81+'TR11'!Y46+'TR13-18'!Y53+'TR19-21'!Y54+'TR31-34'!Y53+'TR36,37,44'!Y53</f>
        <v>272.98688235294117</v>
      </c>
      <c r="AA301" s="592">
        <f>$C$301+'TR1-5'!Z81+'TR11'!Z46+'TR13-18'!Z53+'TR19-21'!Z54+'TR31-34'!Z53+'TR36,37,44'!Z53</f>
        <v>272.98688235294117</v>
      </c>
      <c r="AB301" s="592">
        <f>$C$301+'TR1-5'!AA81+'TR11'!AA46+'TR13-18'!AA53+'TR19-21'!AA54+'TR31-34'!AA53+'TR36,37,44'!AA53</f>
        <v>272.98688235294117</v>
      </c>
      <c r="AC301" s="592">
        <f>$C$301+'TR1-5'!AB81+'TR11'!AB46+'TR13-18'!AB53+'TR19-21'!AB54+'TR31-34'!AB53+'TR36,37,44'!AB53</f>
        <v>272.98688235294117</v>
      </c>
      <c r="AD301" s="592">
        <f>$C$301+'TR1-5'!AC81+'TR11'!AC46+'TR13-18'!AC53+'TR19-21'!AC54+'TR31-34'!AC53+'TR36,37,44'!AC53</f>
        <v>277.09313235294115</v>
      </c>
      <c r="AE301" s="592">
        <f>$C$301+'TR1-5'!AD81+'TR11'!AD46+'TR13-18'!AD53+'TR19-21'!AD54+'TR31-34'!AD53+'TR36,37,44'!AD53</f>
        <v>277.09313235294115</v>
      </c>
      <c r="AF301" s="592">
        <f>$C$301+'TR1-5'!AE81+'TR11'!AE46+'TR13-18'!AE53+'TR19-21'!AE54+'TR31-34'!AE53+'TR36,37,44'!AE53</f>
        <v>277.09313235294115</v>
      </c>
      <c r="AG301" s="592">
        <f>$C$301+'TR1-5'!AF81+'TR11'!AF46+'TR13-18'!AF53+'TR19-21'!AF54+'TR31-34'!AF53+'TR36,37,44'!AF53</f>
        <v>277.09313235294115</v>
      </c>
      <c r="AH301" s="592">
        <f>$C$301+'TR1-5'!AG81+'TR11'!AG46+'TR13-18'!AG53+'TR19-21'!AG54+'TR31-34'!AG53+'TR36,37,44'!AG53</f>
        <v>277.09313235294115</v>
      </c>
      <c r="AI301" s="592">
        <f>$C$301+'TR1-5'!AH81+'TR11'!AH46+'TR13-18'!AH53+'TR19-21'!AH54+'TR31-34'!AH53+'TR36,37,44'!AH53</f>
        <v>277.09313235294115</v>
      </c>
      <c r="AJ301" s="592">
        <f>$C$301+'TR1-5'!AI81+'TR11'!AI46+'TR13-18'!AI53+'TR19-21'!AI54+'TR31-34'!AI53+'TR36,37,44'!AI53</f>
        <v>277.09313235294115</v>
      </c>
      <c r="AK301" s="592">
        <f>$C$301+'TR1-5'!AJ81+'TR11'!AJ46+'TR13-18'!AJ53+'TR19-21'!AJ54+'TR31-34'!AJ53+'TR36,37,44'!AJ53</f>
        <v>277.09313235294115</v>
      </c>
      <c r="AL301" s="592">
        <f>$C$301+'TR1-5'!AK81+'TR11'!AK46+'TR13-18'!AK53+'TR19-21'!AK54+'TR31-34'!AK53+'TR36,37,44'!AK53</f>
        <v>277.09313235294115</v>
      </c>
      <c r="AM301" s="592">
        <f>$C$301+'TR1-5'!AL81+'TR11'!AL46+'TR13-18'!AL53+'TR19-21'!AL54+'TR31-34'!AL53+'TR36,37,44'!AL53</f>
        <v>277.09313235294115</v>
      </c>
      <c r="AN301" s="592">
        <f>$C$301+'TR1-5'!AM81+'TR11'!AM46+'TR13-18'!AM53+'TR19-21'!AM54+'TR31-34'!AM53+'TR36,37,44'!AM53</f>
        <v>277.09313235294115</v>
      </c>
      <c r="AO301" s="592">
        <f>$C$301+'TR1-5'!AN81+'TR11'!AN46+'TR13-18'!AN53+'TR19-21'!AN54+'TR31-34'!AN53+'TR36,37,44'!AN53</f>
        <v>277.09313235294115</v>
      </c>
      <c r="AP301" s="592">
        <f>$C$301+'TR1-5'!AO81+'TR11'!AO46+'TR13-18'!AO53+'TR19-21'!AO54+'TR31-34'!AO53+'TR36,37,44'!AO53</f>
        <v>277.09313235294115</v>
      </c>
      <c r="AQ301" s="592">
        <f>$C$301+'TR1-5'!AP81+'TR11'!AP46+'TR13-18'!AP53+'TR19-21'!AP54+'TR31-34'!AP53+'TR36,37,44'!AP53</f>
        <v>277.09313235294115</v>
      </c>
      <c r="AR301" s="592">
        <f>$C$301+'TR1-5'!AQ81+'TR11'!AQ46+'TR13-18'!AQ53+'TR19-21'!AQ54+'TR31-34'!AQ53+'TR36,37,44'!AQ53</f>
        <v>277.09313235294115</v>
      </c>
      <c r="AS301" s="592">
        <f>$C$301+'TR1-5'!AR81+'TR11'!AR46+'TR13-18'!AR53+'TR19-21'!AR54+'TR31-34'!AR53+'TR36,37,44'!AR53</f>
        <v>277.09313235294115</v>
      </c>
      <c r="AT301" s="592">
        <f>$C$301+'TR1-5'!AS81+'TR11'!AS46+'TR13-18'!AS53+'TR19-21'!AS54+'TR31-34'!AS53+'TR36,37,44'!AS53</f>
        <v>277.09313235294115</v>
      </c>
      <c r="AU301" s="592">
        <f>$C$301+'TR1-5'!AT81+'TR11'!AT46+'TR13-18'!AT53+'TR19-21'!AT54+'TR31-34'!AT53+'TR36,37,44'!AT53</f>
        <v>277.09313235294115</v>
      </c>
      <c r="AV301" s="592">
        <f>$C$301+'TR1-5'!AU81+'TR11'!AU46+'TR13-18'!AU53+'TR19-21'!AU54+'TR31-34'!AU53+'TR36,37,44'!AU53</f>
        <v>277.09313235294115</v>
      </c>
      <c r="AW301" s="593">
        <f>$C$301+'TR1-5'!AV81+'TR11'!AV46+'TR13-18'!AV53+'TR19-21'!AV54+'TR31-34'!AV53+'TR36,37,44'!AV53</f>
        <v>277.09313235294115</v>
      </c>
    </row>
    <row r="302" spans="2:49" hidden="1" outlineLevel="1" x14ac:dyDescent="0.25">
      <c r="B302" s="639" t="s">
        <v>738</v>
      </c>
      <c r="C302" s="589">
        <f>C295/H287</f>
        <v>229.41176470588232</v>
      </c>
      <c r="D302" s="589">
        <f>$C$302</f>
        <v>229.41176470588232</v>
      </c>
      <c r="E302" s="654">
        <f>$C$302+'TR31-34'!D51</f>
        <v>229.41176470588232</v>
      </c>
      <c r="F302" s="654">
        <f>$C$302+'TR31-34'!E51</f>
        <v>229.41176470588232</v>
      </c>
      <c r="G302" s="654">
        <f>$C$302+'TR31-34'!F51</f>
        <v>229.41176470588232</v>
      </c>
      <c r="H302" s="654">
        <f>$C$302+'TR31-34'!G51</f>
        <v>229.41176470588232</v>
      </c>
      <c r="I302" s="654">
        <f>$C$302+'TR31-34'!H51</f>
        <v>229.41176470588232</v>
      </c>
      <c r="J302" s="654">
        <f>$C$302+'TR31-34'!I51</f>
        <v>233.08235294117642</v>
      </c>
      <c r="K302" s="654">
        <f>$C$302+'TR31-34'!J51</f>
        <v>233.08235294117642</v>
      </c>
      <c r="L302" s="654">
        <f>$C$302+'TR31-34'!K51</f>
        <v>233.08235294117642</v>
      </c>
      <c r="M302" s="654">
        <f>$C$302+'TR31-34'!L51</f>
        <v>233.08235294117642</v>
      </c>
      <c r="N302" s="654">
        <f>$C$302+'TR31-34'!M51</f>
        <v>233.08235294117642</v>
      </c>
      <c r="O302" s="654">
        <f>$C$302+'TR31-34'!N51</f>
        <v>251.43529411764703</v>
      </c>
      <c r="P302" s="654">
        <f>$C$302+'TR31-34'!O51</f>
        <v>251.43529411764703</v>
      </c>
      <c r="Q302" s="654">
        <f>$C$302+'TR31-34'!P51</f>
        <v>251.43529411764703</v>
      </c>
      <c r="R302" s="654">
        <f>$C$302+'TR31-34'!Q51</f>
        <v>251.43529411764703</v>
      </c>
      <c r="S302" s="654">
        <f>$C$302+'TR31-34'!R51</f>
        <v>251.43529411764703</v>
      </c>
      <c r="T302" s="654">
        <f>$C$302+'TR31-34'!S51</f>
        <v>251.43529411764703</v>
      </c>
      <c r="U302" s="654">
        <f>$C$302+'TR31-34'!T51</f>
        <v>251.43529411764703</v>
      </c>
      <c r="V302" s="654">
        <f>$C$302+'TR31-34'!U51</f>
        <v>251.43529411764703</v>
      </c>
      <c r="W302" s="654">
        <f>$C$302+'TR31-34'!V51</f>
        <v>251.43529411764703</v>
      </c>
      <c r="X302" s="654">
        <f>$C$302+'TR31-34'!W51</f>
        <v>251.43529411764703</v>
      </c>
      <c r="Y302" s="654">
        <f>$C$302+'TR31-34'!X51</f>
        <v>251.43529411764703</v>
      </c>
      <c r="Z302" s="654">
        <f>$C$302+'TR31-34'!Y51</f>
        <v>251.43529411764703</v>
      </c>
      <c r="AA302" s="654">
        <f>$C$302+'TR31-34'!Z51</f>
        <v>251.43529411764703</v>
      </c>
      <c r="AB302" s="654">
        <f>$C$302+'TR31-34'!AA51</f>
        <v>251.43529411764703</v>
      </c>
      <c r="AC302" s="654">
        <f>$C$302+'TR31-34'!AB51</f>
        <v>251.43529411764703</v>
      </c>
      <c r="AD302" s="654">
        <f>$C$302+'TR31-34'!AC51</f>
        <v>251.43529411764703</v>
      </c>
      <c r="AE302" s="654">
        <f>$C$302+'TR31-34'!AD51</f>
        <v>251.43529411764703</v>
      </c>
      <c r="AF302" s="654">
        <f>$C$302+'TR31-34'!AE51</f>
        <v>251.43529411764703</v>
      </c>
      <c r="AG302" s="654">
        <f>$C$302+'TR31-34'!AF51</f>
        <v>251.43529411764703</v>
      </c>
      <c r="AH302" s="654">
        <f>$C$302+'TR31-34'!AG51</f>
        <v>251.43529411764703</v>
      </c>
      <c r="AI302" s="654">
        <f>$C$302+'TR31-34'!AH51</f>
        <v>251.43529411764703</v>
      </c>
      <c r="AJ302" s="654">
        <f>$C$302+'TR31-34'!AI51</f>
        <v>251.43529411764703</v>
      </c>
      <c r="AK302" s="654">
        <f>$C$302+'TR31-34'!AJ51</f>
        <v>251.43529411764703</v>
      </c>
      <c r="AL302" s="654">
        <f>$C$302+'TR31-34'!AK51</f>
        <v>251.43529411764703</v>
      </c>
      <c r="AM302" s="654">
        <f>$C$302+'TR31-34'!AL51</f>
        <v>251.43529411764703</v>
      </c>
      <c r="AN302" s="654">
        <f>$C$302+'TR31-34'!AM51</f>
        <v>251.43529411764703</v>
      </c>
      <c r="AO302" s="654">
        <f>$C$302+'TR31-34'!AN51</f>
        <v>251.43529411764703</v>
      </c>
      <c r="AP302" s="654">
        <f>$C$302+'TR31-34'!AO51</f>
        <v>251.43529411764703</v>
      </c>
      <c r="AQ302" s="654">
        <f>$C$302+'TR31-34'!AP51</f>
        <v>251.43529411764703</v>
      </c>
      <c r="AR302" s="654">
        <f>$C$302+'TR31-34'!AQ51</f>
        <v>251.43529411764703</v>
      </c>
      <c r="AS302" s="654">
        <f>$C$302+'TR31-34'!AR51</f>
        <v>251.43529411764703</v>
      </c>
      <c r="AT302" s="654">
        <f>$C$302+'TR31-34'!AS51</f>
        <v>251.43529411764703</v>
      </c>
      <c r="AU302" s="654">
        <f>$C$302+'TR31-34'!AT51</f>
        <v>251.43529411764703</v>
      </c>
      <c r="AV302" s="654">
        <f>$C$302+'TR31-34'!AU51</f>
        <v>251.43529411764703</v>
      </c>
      <c r="AW302" s="655">
        <f>$C$302+'TR31-34'!AV51</f>
        <v>251.43529411764703</v>
      </c>
    </row>
    <row r="303" spans="2:49" hidden="1" outlineLevel="1" x14ac:dyDescent="0.25">
      <c r="B303" s="645" t="s">
        <v>745</v>
      </c>
      <c r="C303" s="592">
        <f>C296/H288</f>
        <v>38.235294117647058</v>
      </c>
      <c r="D303" s="592">
        <f>$C$303</f>
        <v>38.235294117647058</v>
      </c>
      <c r="E303" s="592">
        <f>$C$303+'TR22-30'!D59+'TR31-34'!D49+'TR36,37,44'!D52</f>
        <v>38.235294117647058</v>
      </c>
      <c r="F303" s="592">
        <f>$C$303+'TR22-30'!E59+'TR31-34'!E49+'TR36,37,44'!E52</f>
        <v>38.235294117647058</v>
      </c>
      <c r="G303" s="592">
        <f>$C$303+'TR22-30'!F59+'TR31-34'!F49+'TR36,37,44'!F52</f>
        <v>38.235294117647058</v>
      </c>
      <c r="H303" s="592">
        <f>$C$303+'TR22-30'!G59+'TR31-34'!G49+'TR36,37,44'!G52</f>
        <v>38.235294117647058</v>
      </c>
      <c r="I303" s="592">
        <f>$C$303+'TR22-30'!H59+'TR31-34'!H49+'TR36,37,44'!H52</f>
        <v>51.449411764705879</v>
      </c>
      <c r="J303" s="592">
        <f>$C$303+'TR22-30'!I59+'TR31-34'!I49+'TR36,37,44'!I52</f>
        <v>69.802352941176466</v>
      </c>
      <c r="K303" s="592">
        <f>$C$303+'TR22-30'!J59+'TR31-34'!J49+'TR36,37,44'!J52</f>
        <v>69.802352941176466</v>
      </c>
      <c r="L303" s="592">
        <f>$C$303+'TR22-30'!K59+'TR31-34'!K49+'TR36,37,44'!K52</f>
        <v>69.802352941176466</v>
      </c>
      <c r="M303" s="592">
        <f>$C$303+'TR22-30'!L59+'TR31-34'!L49+'TR36,37,44'!L52</f>
        <v>69.802352941176466</v>
      </c>
      <c r="N303" s="592">
        <f>$C$303+'TR22-30'!M59+'TR31-34'!M49+'TR36,37,44'!M52</f>
        <v>69.802352941176466</v>
      </c>
      <c r="O303" s="592">
        <f>$C$303+'TR22-30'!N59+'TR31-34'!N49+'TR36,37,44'!N52</f>
        <v>101.23176470588234</v>
      </c>
      <c r="P303" s="592">
        <f>$C$303+'TR22-30'!O59+'TR31-34'!O49+'TR36,37,44'!O52</f>
        <v>101.23176470588234</v>
      </c>
      <c r="Q303" s="592">
        <f>$C$303+'TR22-30'!P59+'TR31-34'!P49+'TR36,37,44'!P52</f>
        <v>101.23176470588234</v>
      </c>
      <c r="R303" s="592">
        <f>$C$303+'TR22-30'!Q59+'TR31-34'!Q49+'TR36,37,44'!Q52</f>
        <v>101.23176470588234</v>
      </c>
      <c r="S303" s="592">
        <f>$C$303+'TR22-30'!R59+'TR31-34'!R49+'TR36,37,44'!R52</f>
        <v>101.23176470588234</v>
      </c>
      <c r="T303" s="592">
        <f>$C$303+'TR22-30'!S59+'TR31-34'!S49+'TR36,37,44'!S52</f>
        <v>101.23176470588234</v>
      </c>
      <c r="U303" s="592">
        <f>$C$303+'TR22-30'!T59+'TR31-34'!T49+'TR36,37,44'!T52</f>
        <v>101.23176470588234</v>
      </c>
      <c r="V303" s="592">
        <f>$C$303+'TR22-30'!U59+'TR31-34'!U49+'TR36,37,44'!U52</f>
        <v>101.23176470588234</v>
      </c>
      <c r="W303" s="592">
        <f>$C$303+'TR22-30'!V59+'TR31-34'!V49+'TR36,37,44'!V52</f>
        <v>101.23176470588234</v>
      </c>
      <c r="X303" s="592">
        <f>$C$303+'TR22-30'!W59+'TR31-34'!W49+'TR36,37,44'!W52</f>
        <v>101.23176470588234</v>
      </c>
      <c r="Y303" s="592">
        <f>$C$303+'TR22-30'!X59+'TR31-34'!X49+'TR36,37,44'!X52</f>
        <v>101.23176470588234</v>
      </c>
      <c r="Z303" s="592">
        <f>$C$303+'TR22-30'!Y59+'TR31-34'!Y49+'TR36,37,44'!Y52</f>
        <v>101.23176470588234</v>
      </c>
      <c r="AA303" s="592">
        <f>$C$303+'TR22-30'!Z59+'TR31-34'!Z49+'TR36,37,44'!Z52</f>
        <v>101.23176470588234</v>
      </c>
      <c r="AB303" s="592">
        <f>$C$303+'TR22-30'!AA59+'TR31-34'!AA49+'TR36,37,44'!AA52</f>
        <v>101.23176470588234</v>
      </c>
      <c r="AC303" s="592">
        <f>$C$303+'TR22-30'!AB59+'TR31-34'!AB49+'TR36,37,44'!AB52</f>
        <v>101.23176470588234</v>
      </c>
      <c r="AD303" s="592">
        <f>$C$303+'TR22-30'!AC59+'TR31-34'!AC49+'TR36,37,44'!AC52</f>
        <v>101.23176470588234</v>
      </c>
      <c r="AE303" s="592">
        <f>$C$303+'TR22-30'!AD59+'TR31-34'!AD49+'TR36,37,44'!AD52</f>
        <v>101.23176470588234</v>
      </c>
      <c r="AF303" s="592">
        <f>$C$303+'TR22-30'!AE59+'TR31-34'!AE49+'TR36,37,44'!AE52</f>
        <v>101.23176470588234</v>
      </c>
      <c r="AG303" s="592">
        <f>$C$303+'TR22-30'!AF59+'TR31-34'!AF49+'TR36,37,44'!AF52</f>
        <v>101.23176470588234</v>
      </c>
      <c r="AH303" s="592">
        <f>$C$303+'TR22-30'!AG59+'TR31-34'!AG49+'TR36,37,44'!AG52</f>
        <v>101.23176470588234</v>
      </c>
      <c r="AI303" s="592">
        <f>$C$303+'TR22-30'!AH59+'TR31-34'!AH49+'TR36,37,44'!AH52</f>
        <v>101.23176470588234</v>
      </c>
      <c r="AJ303" s="592">
        <f>$C$303+'TR22-30'!AI59+'TR31-34'!AI49+'TR36,37,44'!AI52</f>
        <v>101.23176470588234</v>
      </c>
      <c r="AK303" s="592">
        <f>$C$303+'TR22-30'!AJ59+'TR31-34'!AJ49+'TR36,37,44'!AJ52</f>
        <v>101.23176470588234</v>
      </c>
      <c r="AL303" s="592">
        <f>$C$303+'TR22-30'!AK59+'TR31-34'!AK49+'TR36,37,44'!AK52</f>
        <v>101.23176470588234</v>
      </c>
      <c r="AM303" s="592">
        <f>$C$303+'TR22-30'!AL59+'TR31-34'!AL49+'TR36,37,44'!AL52</f>
        <v>101.23176470588234</v>
      </c>
      <c r="AN303" s="592">
        <f>$C$303+'TR22-30'!AM59+'TR31-34'!AM49+'TR36,37,44'!AM52</f>
        <v>101.23176470588234</v>
      </c>
      <c r="AO303" s="592">
        <f>$C$303+'TR22-30'!AN59+'TR31-34'!AN49+'TR36,37,44'!AN52</f>
        <v>101.23176470588234</v>
      </c>
      <c r="AP303" s="592">
        <f>$C$303+'TR22-30'!AO59+'TR31-34'!AO49+'TR36,37,44'!AO52</f>
        <v>101.23176470588234</v>
      </c>
      <c r="AQ303" s="592">
        <f>$C$303+'TR22-30'!AP59+'TR31-34'!AP49+'TR36,37,44'!AP52</f>
        <v>101.23176470588234</v>
      </c>
      <c r="AR303" s="592">
        <f>$C$303+'TR22-30'!AQ59+'TR31-34'!AQ49+'TR36,37,44'!AQ52</f>
        <v>101.23176470588234</v>
      </c>
      <c r="AS303" s="592">
        <f>$C$303+'TR22-30'!AR59+'TR31-34'!AR49+'TR36,37,44'!AR52</f>
        <v>101.23176470588234</v>
      </c>
      <c r="AT303" s="592">
        <f>$C$303+'TR22-30'!AS59+'TR31-34'!AS49+'TR36,37,44'!AS52</f>
        <v>101.23176470588234</v>
      </c>
      <c r="AU303" s="592">
        <f>$C$303+'TR22-30'!AT59+'TR31-34'!AT49+'TR36,37,44'!AT52</f>
        <v>101.23176470588234</v>
      </c>
      <c r="AV303" s="592">
        <f>$C$303+'TR22-30'!AU59+'TR31-34'!AU49+'TR36,37,44'!AU52</f>
        <v>101.23176470588234</v>
      </c>
      <c r="AW303" s="593">
        <f>$C$303+'TR22-30'!AV59+'TR31-34'!AV49+'TR36,37,44'!AV52</f>
        <v>101.23176470588234</v>
      </c>
    </row>
    <row r="304" spans="2:49" s="38" customFormat="1" hidden="1" outlineLevel="1" x14ac:dyDescent="0.25">
      <c r="B304" s="653" t="s">
        <v>445</v>
      </c>
      <c r="C304" s="415">
        <f>SUM(C300:C303)</f>
        <v>764.7058823529411</v>
      </c>
      <c r="D304" s="415">
        <f t="shared" ref="D304" si="103">SUM(D300:D303)</f>
        <v>764.7058823529411</v>
      </c>
      <c r="E304" s="415">
        <f t="shared" ref="E304" si="104">SUM(E300:E303)</f>
        <v>764.7058823529411</v>
      </c>
      <c r="F304" s="415">
        <f t="shared" ref="F304" si="105">SUM(F300:F303)</f>
        <v>764.7058823529411</v>
      </c>
      <c r="G304" s="415">
        <f t="shared" ref="G304" si="106">SUM(G300:G303)</f>
        <v>764.7058823529411</v>
      </c>
      <c r="H304" s="415">
        <f t="shared" ref="H304" si="107">SUM(H300:H303)</f>
        <v>764.7058823529411</v>
      </c>
      <c r="I304" s="415">
        <f t="shared" ref="I304" si="108">SUM(I300:I303)</f>
        <v>764.70588235294122</v>
      </c>
      <c r="J304" s="415">
        <f t="shared" ref="J304" si="109">SUM(J300:J303)</f>
        <v>764.70588235294088</v>
      </c>
      <c r="K304" s="415">
        <f t="shared" ref="K304" si="110">SUM(K300:K303)</f>
        <v>764.70588235294088</v>
      </c>
      <c r="L304" s="415">
        <f t="shared" ref="L304" si="111">SUM(L300:L303)</f>
        <v>764.70588235294088</v>
      </c>
      <c r="M304" s="415">
        <f t="shared" ref="M304" si="112">SUM(M300:M303)</f>
        <v>764.70588235294088</v>
      </c>
      <c r="N304" s="415">
        <f t="shared" ref="N304" si="113">SUM(N300:N303)</f>
        <v>764.70588235294099</v>
      </c>
      <c r="O304" s="415">
        <f t="shared" ref="O304" si="114">SUM(O300:O303)</f>
        <v>764.70588235294099</v>
      </c>
      <c r="P304" s="415">
        <f t="shared" ref="P304" si="115">SUM(P300:P303)</f>
        <v>764.70588235294099</v>
      </c>
      <c r="Q304" s="415">
        <f t="shared" ref="Q304" si="116">SUM(Q300:Q303)</f>
        <v>764.70588235294099</v>
      </c>
      <c r="R304" s="415">
        <f t="shared" ref="R304" si="117">SUM(R300:R303)</f>
        <v>764.70588235294099</v>
      </c>
      <c r="S304" s="415">
        <f t="shared" ref="S304" si="118">SUM(S300:S303)</f>
        <v>764.70588235294099</v>
      </c>
      <c r="T304" s="415">
        <f t="shared" ref="T304" si="119">SUM(T300:T303)</f>
        <v>764.70588235294099</v>
      </c>
      <c r="U304" s="415">
        <f t="shared" ref="U304" si="120">SUM(U300:U303)</f>
        <v>764.70588235294099</v>
      </c>
      <c r="V304" s="415">
        <f t="shared" ref="V304" si="121">SUM(V300:V303)</f>
        <v>764.70588235294099</v>
      </c>
      <c r="W304" s="415">
        <f t="shared" ref="W304" si="122">SUM(W300:W303)</f>
        <v>764.70588235294099</v>
      </c>
      <c r="X304" s="415">
        <f t="shared" ref="X304" si="123">SUM(X300:X303)</f>
        <v>764.70588235294099</v>
      </c>
      <c r="Y304" s="415">
        <f t="shared" ref="Y304" si="124">SUM(Y300:Y303)</f>
        <v>764.70588235294099</v>
      </c>
      <c r="Z304" s="415">
        <f t="shared" ref="Z304" si="125">SUM(Z300:Z303)</f>
        <v>764.70588235294099</v>
      </c>
      <c r="AA304" s="415">
        <f t="shared" ref="AA304" si="126">SUM(AA300:AA303)</f>
        <v>764.70588235294099</v>
      </c>
      <c r="AB304" s="415">
        <f t="shared" ref="AB304" si="127">SUM(AB300:AB303)</f>
        <v>764.70588235294099</v>
      </c>
      <c r="AC304" s="415">
        <f t="shared" ref="AC304" si="128">SUM(AC300:AC303)</f>
        <v>764.70588235294099</v>
      </c>
      <c r="AD304" s="415">
        <f t="shared" ref="AD304" si="129">SUM(AD300:AD303)</f>
        <v>764.70588235294099</v>
      </c>
      <c r="AE304" s="415">
        <f t="shared" ref="AE304" si="130">SUM(AE300:AE303)</f>
        <v>764.70588235294099</v>
      </c>
      <c r="AF304" s="415">
        <f t="shared" ref="AF304" si="131">SUM(AF300:AF303)</f>
        <v>764.70588235294099</v>
      </c>
      <c r="AG304" s="415">
        <f t="shared" ref="AG304" si="132">SUM(AG300:AG303)</f>
        <v>764.70588235294099</v>
      </c>
      <c r="AH304" s="415">
        <f t="shared" ref="AH304" si="133">SUM(AH300:AH303)</f>
        <v>764.70588235294099</v>
      </c>
      <c r="AI304" s="415">
        <f t="shared" ref="AI304" si="134">SUM(AI300:AI303)</f>
        <v>764.70588235294099</v>
      </c>
      <c r="AJ304" s="415">
        <f t="shared" ref="AJ304" si="135">SUM(AJ300:AJ303)</f>
        <v>764.70588235294099</v>
      </c>
      <c r="AK304" s="415">
        <f t="shared" ref="AK304" si="136">SUM(AK300:AK303)</f>
        <v>764.70588235294099</v>
      </c>
      <c r="AL304" s="415">
        <f>SUM(AL300:AL303)</f>
        <v>764.70588235294099</v>
      </c>
      <c r="AM304" s="415">
        <f t="shared" ref="AM304" si="137">SUM(AM300:AM303)</f>
        <v>764.70588235294099</v>
      </c>
      <c r="AN304" s="415">
        <f t="shared" ref="AN304" si="138">SUM(AN300:AN303)</f>
        <v>764.70588235294099</v>
      </c>
      <c r="AO304" s="415">
        <f t="shared" ref="AO304" si="139">SUM(AO300:AO303)</f>
        <v>764.70588235294099</v>
      </c>
      <c r="AP304" s="415">
        <f t="shared" ref="AP304" si="140">SUM(AP300:AP303)</f>
        <v>764.70588235294099</v>
      </c>
      <c r="AQ304" s="415">
        <f t="shared" ref="AQ304" si="141">SUM(AQ300:AQ303)</f>
        <v>764.70588235294099</v>
      </c>
      <c r="AR304" s="415">
        <f t="shared" ref="AR304" si="142">SUM(AR300:AR303)</f>
        <v>764.70588235294099</v>
      </c>
      <c r="AS304" s="415">
        <f t="shared" ref="AS304" si="143">SUM(AS300:AS303)</f>
        <v>764.70588235294099</v>
      </c>
      <c r="AT304" s="415">
        <f t="shared" ref="AT304" si="144">SUM(AT300:AT303)</f>
        <v>764.70588235294099</v>
      </c>
      <c r="AU304" s="415">
        <f t="shared" ref="AU304" si="145">SUM(AU300:AU303)</f>
        <v>764.70588235294099</v>
      </c>
      <c r="AV304" s="415">
        <f t="shared" ref="AV304" si="146">SUM(AV300:AV303)</f>
        <v>764.70588235294099</v>
      </c>
      <c r="AW304" s="416">
        <f t="shared" ref="AW304" si="147">SUM(AW300:AW303)</f>
        <v>764.70588235294099</v>
      </c>
    </row>
    <row r="305" spans="2:49" hidden="1" outlineLevel="1" x14ac:dyDescent="0.25">
      <c r="B305" s="300" t="s">
        <v>747</v>
      </c>
      <c r="F305" s="285"/>
      <c r="G305" s="285"/>
      <c r="H305" s="285"/>
      <c r="I305" s="285"/>
      <c r="J305" s="285"/>
      <c r="K305" s="285"/>
      <c r="L305" s="285"/>
      <c r="M305" s="285"/>
      <c r="N305" s="285"/>
      <c r="O305" s="285"/>
      <c r="P305" s="285"/>
      <c r="Q305" s="285"/>
      <c r="R305" s="285"/>
      <c r="S305" s="285"/>
      <c r="T305" s="285"/>
      <c r="U305" s="285"/>
      <c r="V305" s="285"/>
      <c r="W305" s="285"/>
      <c r="X305" s="285"/>
      <c r="Y305" s="285"/>
      <c r="Z305" s="285"/>
      <c r="AA305" s="285"/>
      <c r="AB305" s="285"/>
      <c r="AC305" s="285"/>
      <c r="AD305" s="285"/>
      <c r="AE305" s="285"/>
      <c r="AF305" s="285"/>
      <c r="AG305" s="285"/>
      <c r="AH305" s="285"/>
      <c r="AI305" s="285"/>
      <c r="AJ305" s="285"/>
      <c r="AK305" s="285"/>
      <c r="AL305" s="285"/>
      <c r="AM305" s="285"/>
      <c r="AN305" s="285"/>
      <c r="AO305" s="285"/>
      <c r="AP305" s="285"/>
      <c r="AQ305" s="285"/>
      <c r="AR305" s="285"/>
      <c r="AS305" s="285"/>
      <c r="AT305" s="285"/>
      <c r="AU305" s="285"/>
      <c r="AV305" s="285"/>
      <c r="AW305" s="285"/>
    </row>
    <row r="306" spans="2:49" hidden="1" outlineLevel="1" x14ac:dyDescent="0.25">
      <c r="B306" s="610"/>
      <c r="C306" s="600">
        <v>2024</v>
      </c>
      <c r="D306" s="600">
        <v>2025</v>
      </c>
      <c r="E306" s="600">
        <v>2026</v>
      </c>
      <c r="F306" s="600">
        <v>2027</v>
      </c>
      <c r="G306" s="600">
        <v>2028</v>
      </c>
      <c r="H306" s="600">
        <v>2029</v>
      </c>
      <c r="I306" s="600">
        <v>2030</v>
      </c>
      <c r="J306" s="600">
        <v>2031</v>
      </c>
      <c r="K306" s="600">
        <v>2032</v>
      </c>
      <c r="L306" s="600">
        <v>2033</v>
      </c>
      <c r="M306" s="600">
        <v>2034</v>
      </c>
      <c r="N306" s="600">
        <v>2035</v>
      </c>
      <c r="O306" s="600">
        <v>2036</v>
      </c>
      <c r="P306" s="600">
        <v>2037</v>
      </c>
      <c r="Q306" s="600">
        <v>2038</v>
      </c>
      <c r="R306" s="600">
        <v>2039</v>
      </c>
      <c r="S306" s="600">
        <v>2040</v>
      </c>
      <c r="T306" s="600">
        <v>2041</v>
      </c>
      <c r="U306" s="600">
        <v>2042</v>
      </c>
      <c r="V306" s="600">
        <v>2043</v>
      </c>
      <c r="W306" s="600">
        <v>2044</v>
      </c>
      <c r="X306" s="600">
        <v>2045</v>
      </c>
      <c r="Y306" s="600">
        <v>2046</v>
      </c>
      <c r="Z306" s="600">
        <v>2047</v>
      </c>
      <c r="AA306" s="600">
        <v>2048</v>
      </c>
      <c r="AB306" s="600">
        <v>2049</v>
      </c>
      <c r="AC306" s="600">
        <v>2050</v>
      </c>
      <c r="AD306" s="600">
        <v>2051</v>
      </c>
      <c r="AE306" s="600">
        <v>2052</v>
      </c>
      <c r="AF306" s="600">
        <v>2053</v>
      </c>
      <c r="AG306" s="600">
        <v>2054</v>
      </c>
      <c r="AH306" s="600">
        <v>2055</v>
      </c>
      <c r="AI306" s="600">
        <v>2056</v>
      </c>
      <c r="AJ306" s="600">
        <v>2057</v>
      </c>
      <c r="AK306" s="600">
        <v>2058</v>
      </c>
      <c r="AL306" s="600">
        <v>2059</v>
      </c>
      <c r="AM306" s="600">
        <v>2060</v>
      </c>
      <c r="AN306" s="600">
        <v>2061</v>
      </c>
      <c r="AO306" s="600">
        <v>2062</v>
      </c>
      <c r="AP306" s="600">
        <v>2063</v>
      </c>
      <c r="AQ306" s="600">
        <v>2064</v>
      </c>
      <c r="AR306" s="600">
        <v>2065</v>
      </c>
      <c r="AS306" s="600">
        <v>2066</v>
      </c>
      <c r="AT306" s="600">
        <v>2067</v>
      </c>
      <c r="AU306" s="600">
        <v>2068</v>
      </c>
      <c r="AV306" s="600">
        <v>2069</v>
      </c>
      <c r="AW306" s="601">
        <v>2070</v>
      </c>
    </row>
    <row r="307" spans="2:49" hidden="1" outlineLevel="1" x14ac:dyDescent="0.25">
      <c r="B307" s="639" t="s">
        <v>736</v>
      </c>
      <c r="C307" s="595">
        <f>C300/C$304</f>
        <v>0.48</v>
      </c>
      <c r="D307" s="595">
        <f t="shared" ref="D307:S307" si="148">D300/D$304</f>
        <v>0.48</v>
      </c>
      <c r="E307" s="595">
        <f>E300/E$304</f>
        <v>0.48</v>
      </c>
      <c r="F307" s="595">
        <f t="shared" si="148"/>
        <v>0.47825815384615383</v>
      </c>
      <c r="G307" s="595">
        <f t="shared" si="148"/>
        <v>0.47481630769230765</v>
      </c>
      <c r="H307" s="595">
        <f t="shared" si="148"/>
        <v>0.47137446153846152</v>
      </c>
      <c r="I307" s="595">
        <f t="shared" si="148"/>
        <v>0.41033261538461535</v>
      </c>
      <c r="J307" s="595">
        <f t="shared" si="148"/>
        <v>0.37766119230769229</v>
      </c>
      <c r="K307" s="595">
        <f t="shared" si="148"/>
        <v>0.37596119230769226</v>
      </c>
      <c r="L307" s="595">
        <f t="shared" si="148"/>
        <v>0.37426119230769223</v>
      </c>
      <c r="M307" s="595">
        <f t="shared" si="148"/>
        <v>0.37256119230769225</v>
      </c>
      <c r="N307" s="595">
        <f t="shared" si="148"/>
        <v>0.37086119230769221</v>
      </c>
      <c r="O307" s="595">
        <f t="shared" si="148"/>
        <v>0.28006119230769227</v>
      </c>
      <c r="P307" s="595">
        <f t="shared" si="148"/>
        <v>0.24453200961538454</v>
      </c>
      <c r="Q307" s="595">
        <f t="shared" si="148"/>
        <v>0.22795700961538454</v>
      </c>
      <c r="R307" s="595">
        <f t="shared" si="148"/>
        <v>0.22795700961538454</v>
      </c>
      <c r="S307" s="595">
        <f t="shared" si="148"/>
        <v>0.19737948557692298</v>
      </c>
      <c r="T307" s="595">
        <f t="shared" ref="T307:AW307" si="149">T300/T$304</f>
        <v>0.19737948557692298</v>
      </c>
      <c r="U307" s="595">
        <f t="shared" si="149"/>
        <v>0.19737948557692298</v>
      </c>
      <c r="V307" s="595">
        <f t="shared" si="149"/>
        <v>0.1926064086538461</v>
      </c>
      <c r="W307" s="595">
        <f t="shared" si="149"/>
        <v>0.1926064086538461</v>
      </c>
      <c r="X307" s="595">
        <f t="shared" si="149"/>
        <v>0.19186061538461532</v>
      </c>
      <c r="Y307" s="595">
        <f t="shared" si="149"/>
        <v>0.19186061538461532</v>
      </c>
      <c r="Z307" s="595">
        <f t="shared" si="149"/>
        <v>0.18183715384615376</v>
      </c>
      <c r="AA307" s="595">
        <f t="shared" si="149"/>
        <v>0.18183715384615376</v>
      </c>
      <c r="AB307" s="595">
        <f t="shared" si="149"/>
        <v>0.18183715384615376</v>
      </c>
      <c r="AC307" s="595">
        <f t="shared" si="149"/>
        <v>0.18183715384615376</v>
      </c>
      <c r="AD307" s="595">
        <f t="shared" si="149"/>
        <v>0.17646744230769223</v>
      </c>
      <c r="AE307" s="595">
        <f t="shared" si="149"/>
        <v>0.17646744230769223</v>
      </c>
      <c r="AF307" s="595">
        <f t="shared" si="149"/>
        <v>0.17646744230769223</v>
      </c>
      <c r="AG307" s="595">
        <f t="shared" si="149"/>
        <v>0.17646744230769223</v>
      </c>
      <c r="AH307" s="595">
        <f t="shared" si="149"/>
        <v>0.17646744230769223</v>
      </c>
      <c r="AI307" s="595">
        <f t="shared" si="149"/>
        <v>0.17646744230769223</v>
      </c>
      <c r="AJ307" s="595">
        <f t="shared" si="149"/>
        <v>0.17646744230769223</v>
      </c>
      <c r="AK307" s="595">
        <f t="shared" si="149"/>
        <v>0.17646744230769223</v>
      </c>
      <c r="AL307" s="595">
        <f t="shared" si="149"/>
        <v>0.17646744230769223</v>
      </c>
      <c r="AM307" s="595">
        <f t="shared" si="149"/>
        <v>0.17646744230769223</v>
      </c>
      <c r="AN307" s="595">
        <f t="shared" si="149"/>
        <v>0.17646744230769223</v>
      </c>
      <c r="AO307" s="595">
        <f t="shared" si="149"/>
        <v>0.17646744230769223</v>
      </c>
      <c r="AP307" s="595">
        <f t="shared" si="149"/>
        <v>0.17646744230769223</v>
      </c>
      <c r="AQ307" s="595">
        <f t="shared" si="149"/>
        <v>0.17646744230769223</v>
      </c>
      <c r="AR307" s="595">
        <f t="shared" si="149"/>
        <v>0.17646744230769223</v>
      </c>
      <c r="AS307" s="595">
        <f t="shared" si="149"/>
        <v>0.17646744230769223</v>
      </c>
      <c r="AT307" s="595">
        <f t="shared" si="149"/>
        <v>0.17646744230769223</v>
      </c>
      <c r="AU307" s="595">
        <f t="shared" si="149"/>
        <v>0.17646744230769223</v>
      </c>
      <c r="AV307" s="595">
        <f t="shared" si="149"/>
        <v>0.17646744230769223</v>
      </c>
      <c r="AW307" s="641">
        <f t="shared" si="149"/>
        <v>0.17646744230769223</v>
      </c>
    </row>
    <row r="308" spans="2:49" hidden="1" outlineLevel="1" x14ac:dyDescent="0.25">
      <c r="B308" s="645" t="s">
        <v>737</v>
      </c>
      <c r="C308" s="598">
        <f t="shared" ref="C308:R310" si="150">C301/C$304</f>
        <v>0.17</v>
      </c>
      <c r="D308" s="598">
        <f t="shared" si="150"/>
        <v>0.17</v>
      </c>
      <c r="E308" s="598">
        <f t="shared" si="150"/>
        <v>0.17</v>
      </c>
      <c r="F308" s="598">
        <f t="shared" si="150"/>
        <v>0.17174184615384616</v>
      </c>
      <c r="G308" s="598">
        <f t="shared" si="150"/>
        <v>0.17518369230769232</v>
      </c>
      <c r="H308" s="598">
        <f t="shared" si="150"/>
        <v>0.17862553846153847</v>
      </c>
      <c r="I308" s="598">
        <f t="shared" si="150"/>
        <v>0.2223873846153846</v>
      </c>
      <c r="J308" s="598">
        <f t="shared" si="150"/>
        <v>0.22625880769230772</v>
      </c>
      <c r="K308" s="598">
        <f t="shared" si="150"/>
        <v>0.22795880769230775</v>
      </c>
      <c r="L308" s="598">
        <f t="shared" si="150"/>
        <v>0.22965880769230776</v>
      </c>
      <c r="M308" s="598">
        <f t="shared" si="150"/>
        <v>0.23135880769230777</v>
      </c>
      <c r="N308" s="598">
        <f t="shared" si="150"/>
        <v>0.23305880769230775</v>
      </c>
      <c r="O308" s="598">
        <f t="shared" si="150"/>
        <v>0.25875880769230775</v>
      </c>
      <c r="P308" s="598">
        <f t="shared" si="150"/>
        <v>0.29428799038461545</v>
      </c>
      <c r="Q308" s="598">
        <f t="shared" si="150"/>
        <v>0.31086299038461546</v>
      </c>
      <c r="R308" s="598">
        <f t="shared" si="150"/>
        <v>0.31086299038461546</v>
      </c>
      <c r="S308" s="598">
        <f t="shared" ref="S308:AW308" si="151">S301/S$304</f>
        <v>0.34144051442307699</v>
      </c>
      <c r="T308" s="598">
        <f t="shared" si="151"/>
        <v>0.34144051442307699</v>
      </c>
      <c r="U308" s="598">
        <f t="shared" si="151"/>
        <v>0.34144051442307699</v>
      </c>
      <c r="V308" s="598">
        <f t="shared" si="151"/>
        <v>0.34621359134615387</v>
      </c>
      <c r="W308" s="598">
        <f t="shared" si="151"/>
        <v>0.34621359134615387</v>
      </c>
      <c r="X308" s="598">
        <f t="shared" si="151"/>
        <v>0.34695938461538467</v>
      </c>
      <c r="Y308" s="598">
        <f t="shared" si="151"/>
        <v>0.34695938461538467</v>
      </c>
      <c r="Z308" s="598">
        <f t="shared" si="151"/>
        <v>0.35698284615384623</v>
      </c>
      <c r="AA308" s="598">
        <f t="shared" si="151"/>
        <v>0.35698284615384623</v>
      </c>
      <c r="AB308" s="598">
        <f t="shared" si="151"/>
        <v>0.35698284615384623</v>
      </c>
      <c r="AC308" s="598">
        <f t="shared" si="151"/>
        <v>0.35698284615384623</v>
      </c>
      <c r="AD308" s="598">
        <f t="shared" si="151"/>
        <v>0.36235255769230773</v>
      </c>
      <c r="AE308" s="598">
        <f t="shared" si="151"/>
        <v>0.36235255769230773</v>
      </c>
      <c r="AF308" s="598">
        <f t="shared" si="151"/>
        <v>0.36235255769230773</v>
      </c>
      <c r="AG308" s="598">
        <f t="shared" si="151"/>
        <v>0.36235255769230773</v>
      </c>
      <c r="AH308" s="598">
        <f t="shared" si="151"/>
        <v>0.36235255769230773</v>
      </c>
      <c r="AI308" s="598">
        <f t="shared" si="151"/>
        <v>0.36235255769230773</v>
      </c>
      <c r="AJ308" s="598">
        <f t="shared" si="151"/>
        <v>0.36235255769230773</v>
      </c>
      <c r="AK308" s="598">
        <f t="shared" si="151"/>
        <v>0.36235255769230773</v>
      </c>
      <c r="AL308" s="598">
        <f t="shared" si="151"/>
        <v>0.36235255769230773</v>
      </c>
      <c r="AM308" s="598">
        <f t="shared" si="151"/>
        <v>0.36235255769230773</v>
      </c>
      <c r="AN308" s="598">
        <f t="shared" si="151"/>
        <v>0.36235255769230773</v>
      </c>
      <c r="AO308" s="598">
        <f t="shared" si="151"/>
        <v>0.36235255769230773</v>
      </c>
      <c r="AP308" s="598">
        <f t="shared" si="151"/>
        <v>0.36235255769230773</v>
      </c>
      <c r="AQ308" s="598">
        <f t="shared" si="151"/>
        <v>0.36235255769230773</v>
      </c>
      <c r="AR308" s="598">
        <f t="shared" si="151"/>
        <v>0.36235255769230773</v>
      </c>
      <c r="AS308" s="598">
        <f t="shared" si="151"/>
        <v>0.36235255769230773</v>
      </c>
      <c r="AT308" s="598">
        <f t="shared" si="151"/>
        <v>0.36235255769230773</v>
      </c>
      <c r="AU308" s="598">
        <f t="shared" si="151"/>
        <v>0.36235255769230773</v>
      </c>
      <c r="AV308" s="598">
        <f t="shared" si="151"/>
        <v>0.36235255769230773</v>
      </c>
      <c r="AW308" s="646">
        <f t="shared" si="151"/>
        <v>0.36235255769230773</v>
      </c>
    </row>
    <row r="309" spans="2:49" hidden="1" outlineLevel="1" x14ac:dyDescent="0.25">
      <c r="B309" s="639" t="s">
        <v>738</v>
      </c>
      <c r="C309" s="595">
        <f t="shared" si="150"/>
        <v>0.3</v>
      </c>
      <c r="D309" s="595">
        <f t="shared" si="150"/>
        <v>0.3</v>
      </c>
      <c r="E309" s="595">
        <f t="shared" si="150"/>
        <v>0.3</v>
      </c>
      <c r="F309" s="595">
        <f t="shared" si="150"/>
        <v>0.3</v>
      </c>
      <c r="G309" s="595">
        <f t="shared" si="150"/>
        <v>0.3</v>
      </c>
      <c r="H309" s="595">
        <f t="shared" si="150"/>
        <v>0.3</v>
      </c>
      <c r="I309" s="595">
        <f t="shared" si="150"/>
        <v>0.29999999999999993</v>
      </c>
      <c r="J309" s="595">
        <f t="shared" si="150"/>
        <v>0.30480000000000007</v>
      </c>
      <c r="K309" s="595">
        <f t="shared" si="150"/>
        <v>0.30480000000000007</v>
      </c>
      <c r="L309" s="595">
        <f t="shared" si="150"/>
        <v>0.30480000000000007</v>
      </c>
      <c r="M309" s="595">
        <f t="shared" si="150"/>
        <v>0.30480000000000007</v>
      </c>
      <c r="N309" s="595">
        <f t="shared" si="150"/>
        <v>0.30480000000000002</v>
      </c>
      <c r="O309" s="595">
        <f t="shared" si="150"/>
        <v>0.32880000000000004</v>
      </c>
      <c r="P309" s="595">
        <f t="shared" si="150"/>
        <v>0.32880000000000004</v>
      </c>
      <c r="Q309" s="595">
        <f t="shared" si="150"/>
        <v>0.32880000000000004</v>
      </c>
      <c r="R309" s="595">
        <f t="shared" si="150"/>
        <v>0.32880000000000004</v>
      </c>
      <c r="S309" s="595">
        <f t="shared" ref="S309:AW309" si="152">S302/S$304</f>
        <v>0.32880000000000004</v>
      </c>
      <c r="T309" s="595">
        <f t="shared" si="152"/>
        <v>0.32880000000000004</v>
      </c>
      <c r="U309" s="595">
        <f t="shared" si="152"/>
        <v>0.32880000000000004</v>
      </c>
      <c r="V309" s="595">
        <f t="shared" si="152"/>
        <v>0.32880000000000004</v>
      </c>
      <c r="W309" s="595">
        <f t="shared" si="152"/>
        <v>0.32880000000000004</v>
      </c>
      <c r="X309" s="595">
        <f t="shared" si="152"/>
        <v>0.32880000000000004</v>
      </c>
      <c r="Y309" s="595">
        <f t="shared" si="152"/>
        <v>0.32880000000000004</v>
      </c>
      <c r="Z309" s="595">
        <f t="shared" si="152"/>
        <v>0.32880000000000004</v>
      </c>
      <c r="AA309" s="595">
        <f t="shared" si="152"/>
        <v>0.32880000000000004</v>
      </c>
      <c r="AB309" s="595">
        <f t="shared" si="152"/>
        <v>0.32880000000000004</v>
      </c>
      <c r="AC309" s="595">
        <f t="shared" si="152"/>
        <v>0.32880000000000004</v>
      </c>
      <c r="AD309" s="595">
        <f t="shared" si="152"/>
        <v>0.32880000000000004</v>
      </c>
      <c r="AE309" s="595">
        <f t="shared" si="152"/>
        <v>0.32880000000000004</v>
      </c>
      <c r="AF309" s="595">
        <f t="shared" si="152"/>
        <v>0.32880000000000004</v>
      </c>
      <c r="AG309" s="595">
        <f t="shared" si="152"/>
        <v>0.32880000000000004</v>
      </c>
      <c r="AH309" s="595">
        <f t="shared" si="152"/>
        <v>0.32880000000000004</v>
      </c>
      <c r="AI309" s="595">
        <f t="shared" si="152"/>
        <v>0.32880000000000004</v>
      </c>
      <c r="AJ309" s="595">
        <f t="shared" si="152"/>
        <v>0.32880000000000004</v>
      </c>
      <c r="AK309" s="595">
        <f t="shared" si="152"/>
        <v>0.32880000000000004</v>
      </c>
      <c r="AL309" s="595">
        <f t="shared" si="152"/>
        <v>0.32880000000000004</v>
      </c>
      <c r="AM309" s="595">
        <f t="shared" si="152"/>
        <v>0.32880000000000004</v>
      </c>
      <c r="AN309" s="595">
        <f t="shared" si="152"/>
        <v>0.32880000000000004</v>
      </c>
      <c r="AO309" s="595">
        <f t="shared" si="152"/>
        <v>0.32880000000000004</v>
      </c>
      <c r="AP309" s="595">
        <f t="shared" si="152"/>
        <v>0.32880000000000004</v>
      </c>
      <c r="AQ309" s="595">
        <f t="shared" si="152"/>
        <v>0.32880000000000004</v>
      </c>
      <c r="AR309" s="595">
        <f t="shared" si="152"/>
        <v>0.32880000000000004</v>
      </c>
      <c r="AS309" s="595">
        <f t="shared" si="152"/>
        <v>0.32880000000000004</v>
      </c>
      <c r="AT309" s="595">
        <f t="shared" si="152"/>
        <v>0.32880000000000004</v>
      </c>
      <c r="AU309" s="595">
        <f t="shared" si="152"/>
        <v>0.32880000000000004</v>
      </c>
      <c r="AV309" s="595">
        <f t="shared" si="152"/>
        <v>0.32880000000000004</v>
      </c>
      <c r="AW309" s="641">
        <f t="shared" si="152"/>
        <v>0.32880000000000004</v>
      </c>
    </row>
    <row r="310" spans="2:49" hidden="1" outlineLevel="1" x14ac:dyDescent="0.25">
      <c r="B310" s="645" t="s">
        <v>745</v>
      </c>
      <c r="C310" s="598">
        <f t="shared" si="150"/>
        <v>0.05</v>
      </c>
      <c r="D310" s="598">
        <f t="shared" si="150"/>
        <v>0.05</v>
      </c>
      <c r="E310" s="598">
        <f t="shared" si="150"/>
        <v>0.05</v>
      </c>
      <c r="F310" s="598">
        <f t="shared" si="150"/>
        <v>0.05</v>
      </c>
      <c r="G310" s="598">
        <f t="shared" si="150"/>
        <v>0.05</v>
      </c>
      <c r="H310" s="598">
        <f t="shared" si="150"/>
        <v>0.05</v>
      </c>
      <c r="I310" s="598">
        <f t="shared" si="150"/>
        <v>6.7279999999999993E-2</v>
      </c>
      <c r="J310" s="598">
        <f t="shared" si="150"/>
        <v>9.1280000000000028E-2</v>
      </c>
      <c r="K310" s="598">
        <f t="shared" si="150"/>
        <v>9.1280000000000028E-2</v>
      </c>
      <c r="L310" s="598">
        <f t="shared" si="150"/>
        <v>9.1280000000000028E-2</v>
      </c>
      <c r="M310" s="598">
        <f t="shared" si="150"/>
        <v>9.1280000000000028E-2</v>
      </c>
      <c r="N310" s="598">
        <f t="shared" si="150"/>
        <v>9.1280000000000014E-2</v>
      </c>
      <c r="O310" s="598">
        <f t="shared" si="150"/>
        <v>0.13238000000000003</v>
      </c>
      <c r="P310" s="598">
        <f t="shared" si="150"/>
        <v>0.13238000000000003</v>
      </c>
      <c r="Q310" s="598">
        <f t="shared" si="150"/>
        <v>0.13238000000000003</v>
      </c>
      <c r="R310" s="598">
        <f t="shared" si="150"/>
        <v>0.13238000000000003</v>
      </c>
      <c r="S310" s="598">
        <f t="shared" ref="S310:AW310" si="153">S303/S$304</f>
        <v>0.13238000000000003</v>
      </c>
      <c r="T310" s="598">
        <f t="shared" si="153"/>
        <v>0.13238000000000003</v>
      </c>
      <c r="U310" s="598">
        <f t="shared" si="153"/>
        <v>0.13238000000000003</v>
      </c>
      <c r="V310" s="598">
        <f t="shared" si="153"/>
        <v>0.13238000000000003</v>
      </c>
      <c r="W310" s="598">
        <f t="shared" si="153"/>
        <v>0.13238000000000003</v>
      </c>
      <c r="X310" s="598">
        <f t="shared" si="153"/>
        <v>0.13238000000000003</v>
      </c>
      <c r="Y310" s="598">
        <f t="shared" si="153"/>
        <v>0.13238000000000003</v>
      </c>
      <c r="Z310" s="598">
        <f t="shared" si="153"/>
        <v>0.13238000000000003</v>
      </c>
      <c r="AA310" s="598">
        <f t="shared" si="153"/>
        <v>0.13238000000000003</v>
      </c>
      <c r="AB310" s="598">
        <f t="shared" si="153"/>
        <v>0.13238000000000003</v>
      </c>
      <c r="AC310" s="598">
        <f t="shared" si="153"/>
        <v>0.13238000000000003</v>
      </c>
      <c r="AD310" s="598">
        <f t="shared" si="153"/>
        <v>0.13238000000000003</v>
      </c>
      <c r="AE310" s="598">
        <f t="shared" si="153"/>
        <v>0.13238000000000003</v>
      </c>
      <c r="AF310" s="598">
        <f t="shared" si="153"/>
        <v>0.13238000000000003</v>
      </c>
      <c r="AG310" s="598">
        <f t="shared" si="153"/>
        <v>0.13238000000000003</v>
      </c>
      <c r="AH310" s="598">
        <f t="shared" si="153"/>
        <v>0.13238000000000003</v>
      </c>
      <c r="AI310" s="598">
        <f t="shared" si="153"/>
        <v>0.13238000000000003</v>
      </c>
      <c r="AJ310" s="598">
        <f t="shared" si="153"/>
        <v>0.13238000000000003</v>
      </c>
      <c r="AK310" s="598">
        <f t="shared" si="153"/>
        <v>0.13238000000000003</v>
      </c>
      <c r="AL310" s="598">
        <f t="shared" si="153"/>
        <v>0.13238000000000003</v>
      </c>
      <c r="AM310" s="598">
        <f t="shared" si="153"/>
        <v>0.13238000000000003</v>
      </c>
      <c r="AN310" s="598">
        <f t="shared" si="153"/>
        <v>0.13238000000000003</v>
      </c>
      <c r="AO310" s="598">
        <f t="shared" si="153"/>
        <v>0.13238000000000003</v>
      </c>
      <c r="AP310" s="598">
        <f t="shared" si="153"/>
        <v>0.13238000000000003</v>
      </c>
      <c r="AQ310" s="598">
        <f t="shared" si="153"/>
        <v>0.13238000000000003</v>
      </c>
      <c r="AR310" s="598">
        <f t="shared" si="153"/>
        <v>0.13238000000000003</v>
      </c>
      <c r="AS310" s="598">
        <f t="shared" si="153"/>
        <v>0.13238000000000003</v>
      </c>
      <c r="AT310" s="598">
        <f t="shared" si="153"/>
        <v>0.13238000000000003</v>
      </c>
      <c r="AU310" s="598">
        <f t="shared" si="153"/>
        <v>0.13238000000000003</v>
      </c>
      <c r="AV310" s="598">
        <f t="shared" si="153"/>
        <v>0.13238000000000003</v>
      </c>
      <c r="AW310" s="646">
        <f t="shared" si="153"/>
        <v>0.13238000000000003</v>
      </c>
    </row>
    <row r="311" spans="2:49" collapsed="1" x14ac:dyDescent="0.25"/>
    <row r="312" spans="2:49" ht="15.75" x14ac:dyDescent="0.25">
      <c r="B312" s="510" t="s">
        <v>748</v>
      </c>
      <c r="C312" s="511"/>
      <c r="D312" s="511"/>
      <c r="E312" s="511"/>
      <c r="F312" s="511"/>
      <c r="G312" s="511"/>
      <c r="H312" s="511"/>
      <c r="I312" s="511"/>
    </row>
    <row r="313" spans="2:49" ht="21" customHeight="1" x14ac:dyDescent="0.25">
      <c r="B313" s="624" t="s">
        <v>749</v>
      </c>
      <c r="C313" s="624"/>
      <c r="D313" s="624"/>
      <c r="E313" s="95"/>
    </row>
    <row r="314" spans="2:49" outlineLevel="1" x14ac:dyDescent="0.25">
      <c r="B314" s="625" t="s">
        <v>469</v>
      </c>
      <c r="C314" s="624"/>
      <c r="D314" s="624"/>
    </row>
    <row r="315" spans="2:49" outlineLevel="1" x14ac:dyDescent="0.25">
      <c r="B315" s="626"/>
      <c r="C315" s="983" t="s">
        <v>526</v>
      </c>
      <c r="D315" s="984"/>
      <c r="E315" s="973" t="s">
        <v>653</v>
      </c>
      <c r="F315" s="974"/>
      <c r="G315" s="975" t="s">
        <v>654</v>
      </c>
      <c r="H315" s="976"/>
    </row>
    <row r="316" spans="2:49" outlineLevel="1" x14ac:dyDescent="0.25">
      <c r="B316" s="626"/>
      <c r="C316" s="627">
        <v>2007</v>
      </c>
      <c r="D316" s="627">
        <v>2021</v>
      </c>
      <c r="E316" s="93">
        <v>2007</v>
      </c>
      <c r="F316" s="93">
        <v>2021</v>
      </c>
      <c r="G316" s="93">
        <v>2007</v>
      </c>
      <c r="H316" s="93">
        <v>2021</v>
      </c>
    </row>
    <row r="317" spans="2:49" outlineLevel="1" x14ac:dyDescent="0.25">
      <c r="B317" s="628" t="s">
        <v>484</v>
      </c>
      <c r="C317" s="629">
        <v>243.059</v>
      </c>
      <c r="D317" s="630">
        <v>137.97800000000001</v>
      </c>
      <c r="E317" s="99">
        <v>0.1991</v>
      </c>
      <c r="F317" s="99">
        <v>0.19919999999999999</v>
      </c>
      <c r="G317" s="96">
        <v>48398</v>
      </c>
      <c r="H317" s="96">
        <v>27485</v>
      </c>
      <c r="I317">
        <f>H317/H321</f>
        <v>0.98343351939315871</v>
      </c>
      <c r="J317" s="15" t="s">
        <v>750</v>
      </c>
    </row>
    <row r="318" spans="2:49" outlineLevel="1" x14ac:dyDescent="0.25">
      <c r="B318" s="628" t="s">
        <v>483</v>
      </c>
      <c r="C318" s="629">
        <v>1.9430000000000001</v>
      </c>
      <c r="D318" s="630">
        <v>1.843</v>
      </c>
      <c r="E318" s="99">
        <v>0.26550000000000001</v>
      </c>
      <c r="F318" s="99">
        <v>0.24929999999999999</v>
      </c>
      <c r="G318" s="96">
        <v>516</v>
      </c>
      <c r="H318" s="96">
        <v>459</v>
      </c>
    </row>
    <row r="319" spans="2:49" outlineLevel="1" x14ac:dyDescent="0.25">
      <c r="B319" s="628" t="s">
        <v>484</v>
      </c>
      <c r="C319" s="629">
        <v>0.433</v>
      </c>
      <c r="D319" s="630">
        <v>0.01</v>
      </c>
      <c r="E319" s="99">
        <v>0.26550000000000001</v>
      </c>
      <c r="F319" s="99">
        <v>0.26629999999999998</v>
      </c>
      <c r="G319" s="96">
        <v>115</v>
      </c>
      <c r="H319" s="96">
        <v>3</v>
      </c>
    </row>
    <row r="320" spans="2:49" outlineLevel="1" x14ac:dyDescent="0.25">
      <c r="B320" s="628" t="s">
        <v>536</v>
      </c>
      <c r="C320" s="629">
        <v>0.51400000000000001</v>
      </c>
      <c r="D320" s="630">
        <v>0.318</v>
      </c>
      <c r="E320" s="99">
        <v>3.8999999999999998E-3</v>
      </c>
      <c r="F320" s="99">
        <v>4.4000000000000003E-3</v>
      </c>
      <c r="G320" s="96">
        <v>2</v>
      </c>
      <c r="H320" s="96">
        <v>1</v>
      </c>
    </row>
    <row r="321" spans="2:8" outlineLevel="1" x14ac:dyDescent="0.25">
      <c r="B321" s="628" t="s">
        <v>445</v>
      </c>
      <c r="C321" s="630">
        <v>245.94900000000001</v>
      </c>
      <c r="D321" s="630">
        <v>140.149</v>
      </c>
      <c r="E321" s="97"/>
      <c r="F321" s="97"/>
      <c r="G321" s="97">
        <v>49031</v>
      </c>
      <c r="H321" s="97">
        <v>27948</v>
      </c>
    </row>
    <row r="322" spans="2:8" outlineLevel="1" x14ac:dyDescent="0.25">
      <c r="B322" s="631" t="s">
        <v>751</v>
      </c>
      <c r="C322" s="624"/>
      <c r="D322" s="624"/>
      <c r="E322" s="95"/>
    </row>
    <row r="323" spans="2:8" outlineLevel="1" x14ac:dyDescent="0.25">
      <c r="B323" s="624"/>
      <c r="C323" s="624"/>
      <c r="D323" s="624"/>
    </row>
    <row r="324" spans="2:8" outlineLevel="1" x14ac:dyDescent="0.25">
      <c r="B324" s="625" t="s">
        <v>752</v>
      </c>
      <c r="C324" s="624"/>
      <c r="D324" s="624"/>
    </row>
    <row r="325" spans="2:8" outlineLevel="1" x14ac:dyDescent="0.25">
      <c r="B325" s="626"/>
      <c r="C325" s="627">
        <v>2007</v>
      </c>
      <c r="D325" s="627">
        <v>2011</v>
      </c>
      <c r="E325" s="93">
        <v>2015</v>
      </c>
      <c r="F325" s="93">
        <v>2019</v>
      </c>
      <c r="G325" s="93">
        <v>2021</v>
      </c>
    </row>
    <row r="326" spans="2:8" outlineLevel="1" x14ac:dyDescent="0.25">
      <c r="B326" s="628" t="s">
        <v>753</v>
      </c>
      <c r="C326" s="630">
        <v>0</v>
      </c>
      <c r="D326" s="630">
        <v>0</v>
      </c>
      <c r="E326" s="96">
        <v>5602.3</v>
      </c>
      <c r="F326" s="96">
        <v>7347.2</v>
      </c>
      <c r="G326" s="96">
        <v>7908</v>
      </c>
    </row>
    <row r="327" spans="2:8" outlineLevel="1" x14ac:dyDescent="0.25">
      <c r="B327" s="631" t="s">
        <v>754</v>
      </c>
      <c r="C327" s="624"/>
      <c r="D327" s="624"/>
    </row>
    <row r="328" spans="2:8" outlineLevel="1" x14ac:dyDescent="0.25">
      <c r="B328" s="624"/>
      <c r="C328" s="624"/>
      <c r="D328" s="624"/>
    </row>
    <row r="329" spans="2:8" outlineLevel="1" x14ac:dyDescent="0.25">
      <c r="B329" s="625" t="s">
        <v>755</v>
      </c>
      <c r="C329" s="624"/>
      <c r="D329" s="624"/>
    </row>
    <row r="330" spans="2:8" outlineLevel="1" x14ac:dyDescent="0.25">
      <c r="B330" s="632" t="s">
        <v>756</v>
      </c>
      <c r="C330" s="624"/>
      <c r="D330" s="624"/>
    </row>
    <row r="331" spans="2:8" outlineLevel="1" x14ac:dyDescent="0.25">
      <c r="B331" s="626"/>
      <c r="C331" s="627" t="s">
        <v>757</v>
      </c>
      <c r="D331" s="624"/>
    </row>
    <row r="332" spans="2:8" outlineLevel="1" x14ac:dyDescent="0.25">
      <c r="B332" s="628" t="s">
        <v>758</v>
      </c>
      <c r="C332" s="633">
        <v>33</v>
      </c>
      <c r="D332" s="624"/>
    </row>
    <row r="333" spans="2:8" outlineLevel="1" x14ac:dyDescent="0.25">
      <c r="B333" s="628" t="s">
        <v>759</v>
      </c>
      <c r="C333" s="633">
        <v>14.1</v>
      </c>
      <c r="D333" s="624"/>
    </row>
    <row r="334" spans="2:8" outlineLevel="1" x14ac:dyDescent="0.25">
      <c r="B334" s="628" t="s">
        <v>760</v>
      </c>
      <c r="C334" s="633" t="s">
        <v>519</v>
      </c>
      <c r="D334" s="624"/>
    </row>
    <row r="335" spans="2:8" outlineLevel="1" x14ac:dyDescent="0.25">
      <c r="B335" s="628" t="s">
        <v>761</v>
      </c>
      <c r="C335" s="633">
        <v>15.6</v>
      </c>
      <c r="D335" s="624"/>
    </row>
    <row r="336" spans="2:8" outlineLevel="1" x14ac:dyDescent="0.25">
      <c r="B336" s="628" t="s">
        <v>762</v>
      </c>
      <c r="C336" s="633">
        <v>93.9</v>
      </c>
      <c r="D336" s="624"/>
    </row>
    <row r="337" spans="2:9" outlineLevel="1" x14ac:dyDescent="0.25">
      <c r="B337" s="628" t="s">
        <v>763</v>
      </c>
      <c r="C337" s="633">
        <v>2.6</v>
      </c>
      <c r="D337" s="624"/>
    </row>
    <row r="338" spans="2:9" outlineLevel="1" x14ac:dyDescent="0.25">
      <c r="B338" s="628" t="s">
        <v>764</v>
      </c>
      <c r="C338" s="633">
        <v>159.19999999999999</v>
      </c>
      <c r="D338" s="624"/>
    </row>
    <row r="339" spans="2:9" outlineLevel="1" x14ac:dyDescent="0.25">
      <c r="B339" s="631" t="s">
        <v>765</v>
      </c>
      <c r="C339" s="624"/>
      <c r="D339" s="624"/>
    </row>
    <row r="340" spans="2:9" outlineLevel="1" x14ac:dyDescent="0.25">
      <c r="B340" s="632" t="s">
        <v>766</v>
      </c>
      <c r="C340" s="624"/>
      <c r="D340" s="624"/>
    </row>
    <row r="341" spans="2:9" outlineLevel="1" x14ac:dyDescent="0.25">
      <c r="B341" s="626" t="s">
        <v>660</v>
      </c>
      <c r="C341" s="627">
        <v>2007</v>
      </c>
      <c r="D341" s="627">
        <v>2011</v>
      </c>
      <c r="E341" s="93">
        <v>2015</v>
      </c>
      <c r="F341" s="93">
        <v>2019</v>
      </c>
      <c r="G341" s="93">
        <v>2021</v>
      </c>
    </row>
    <row r="342" spans="2:9" outlineLevel="1" x14ac:dyDescent="0.25">
      <c r="B342" s="628" t="s">
        <v>767</v>
      </c>
      <c r="C342" s="630">
        <v>-3283.1</v>
      </c>
      <c r="D342" s="630">
        <v>-3546.8</v>
      </c>
      <c r="E342" s="96">
        <v>-4958.8</v>
      </c>
      <c r="F342" s="96">
        <v>-2228.1</v>
      </c>
      <c r="G342" s="96">
        <v>-1135.8</v>
      </c>
      <c r="I342" s="121" t="s">
        <v>768</v>
      </c>
    </row>
    <row r="343" spans="2:9" outlineLevel="1" x14ac:dyDescent="0.25">
      <c r="B343" s="631" t="s">
        <v>769</v>
      </c>
      <c r="C343" s="624"/>
      <c r="D343" s="624"/>
    </row>
    <row r="344" spans="2:9" outlineLevel="1" x14ac:dyDescent="0.25">
      <c r="B344" s="624"/>
      <c r="C344" s="624"/>
      <c r="D344" s="624"/>
    </row>
    <row r="345" spans="2:9" x14ac:dyDescent="0.25">
      <c r="B345" s="624"/>
      <c r="C345" s="624"/>
      <c r="D345" s="624"/>
    </row>
    <row r="346" spans="2:9" x14ac:dyDescent="0.25">
      <c r="B346" s="624" t="s">
        <v>770</v>
      </c>
      <c r="C346" s="624"/>
      <c r="D346" s="624"/>
    </row>
    <row r="347" spans="2:9" outlineLevel="1" x14ac:dyDescent="0.25">
      <c r="B347" s="94" t="s">
        <v>771</v>
      </c>
      <c r="C347" s="15"/>
      <c r="D347" s="15"/>
      <c r="E347" s="15"/>
      <c r="F347" s="15"/>
      <c r="G347" s="15"/>
    </row>
    <row r="348" spans="2:9" ht="27" outlineLevel="2" x14ac:dyDescent="0.25">
      <c r="B348" s="90"/>
      <c r="C348" s="93" t="s">
        <v>502</v>
      </c>
      <c r="D348" s="278" t="s">
        <v>772</v>
      </c>
      <c r="E348" s="93" t="s">
        <v>773</v>
      </c>
      <c r="F348" s="93" t="s">
        <v>774</v>
      </c>
      <c r="G348" s="15"/>
    </row>
    <row r="349" spans="2:9" outlineLevel="2" x14ac:dyDescent="0.25">
      <c r="B349" s="74" t="s">
        <v>775</v>
      </c>
      <c r="C349" s="75">
        <v>19</v>
      </c>
      <c r="D349" s="114">
        <f>C349/$C$353</f>
        <v>9.6790626591951104E-3</v>
      </c>
      <c r="E349" s="100">
        <v>0</v>
      </c>
      <c r="F349" s="96">
        <f>C349*1000*E349</f>
        <v>0</v>
      </c>
      <c r="G349" s="15"/>
    </row>
    <row r="350" spans="2:9" outlineLevel="2" x14ac:dyDescent="0.25">
      <c r="B350" s="74" t="s">
        <v>776</v>
      </c>
      <c r="C350" s="75">
        <v>97</v>
      </c>
      <c r="D350" s="114">
        <f t="shared" ref="D350:D353" si="154">C350/$C$353</f>
        <v>4.9414161996943456E-2</v>
      </c>
      <c r="E350" s="100">
        <v>1.4E-2</v>
      </c>
      <c r="F350" s="96">
        <f>C350*1000*E350</f>
        <v>1358</v>
      </c>
      <c r="G350" s="15"/>
    </row>
    <row r="351" spans="2:9" outlineLevel="2" x14ac:dyDescent="0.25">
      <c r="B351" s="74" t="s">
        <v>777</v>
      </c>
      <c r="C351" s="75">
        <v>331</v>
      </c>
      <c r="D351" s="114">
        <f t="shared" si="154"/>
        <v>0.16861946001018849</v>
      </c>
      <c r="E351" s="100">
        <v>0.02</v>
      </c>
      <c r="F351" s="96">
        <f>C351*1000*E351</f>
        <v>6620</v>
      </c>
      <c r="G351" s="15"/>
    </row>
    <row r="352" spans="2:9" outlineLevel="2" x14ac:dyDescent="0.25">
      <c r="B352" s="74" t="s">
        <v>778</v>
      </c>
      <c r="C352" s="75">
        <v>1516</v>
      </c>
      <c r="D352" s="114">
        <f t="shared" si="154"/>
        <v>0.7722873153336729</v>
      </c>
      <c r="E352" s="100">
        <v>0.63700000000000001</v>
      </c>
      <c r="F352" s="96">
        <f>C352*1000*E352</f>
        <v>965692</v>
      </c>
      <c r="G352" s="66" t="s">
        <v>779</v>
      </c>
    </row>
    <row r="353" spans="2:50" s="38" customFormat="1" outlineLevel="2" x14ac:dyDescent="0.25">
      <c r="B353" s="76" t="s">
        <v>780</v>
      </c>
      <c r="C353" s="77">
        <v>1963</v>
      </c>
      <c r="D353" s="120">
        <f t="shared" si="154"/>
        <v>1</v>
      </c>
      <c r="E353" s="259">
        <v>0.49601120733571064</v>
      </c>
      <c r="F353" s="97">
        <f>C353*1000*E353</f>
        <v>973670</v>
      </c>
      <c r="G353" s="39"/>
    </row>
    <row r="354" spans="2:50" s="38" customFormat="1" outlineLevel="2" x14ac:dyDescent="0.25">
      <c r="B354" s="65" t="s">
        <v>781</v>
      </c>
      <c r="C354" s="67"/>
      <c r="D354" s="39"/>
      <c r="E354" s="39"/>
      <c r="F354" s="39"/>
      <c r="G354" s="39"/>
    </row>
    <row r="355" spans="2:50" s="38" customFormat="1" outlineLevel="1" x14ac:dyDescent="0.25">
      <c r="B355" s="65"/>
      <c r="C355" s="67"/>
      <c r="D355" s="39"/>
      <c r="E355" s="39"/>
      <c r="F355" s="39"/>
      <c r="G355" s="39"/>
    </row>
    <row r="356" spans="2:50" s="38" customFormat="1" outlineLevel="1" x14ac:dyDescent="0.25">
      <c r="B356" s="89" t="s">
        <v>782</v>
      </c>
      <c r="C356" s="67"/>
      <c r="D356" s="39"/>
      <c r="E356" s="39"/>
      <c r="F356" s="39"/>
      <c r="G356" s="39"/>
    </row>
    <row r="357" spans="2:50" outlineLevel="2" x14ac:dyDescent="0.25">
      <c r="B357" s="83"/>
      <c r="C357" s="85" t="s">
        <v>783</v>
      </c>
      <c r="D357" s="985" t="s">
        <v>784</v>
      </c>
      <c r="E357" s="985"/>
      <c r="F357" s="985"/>
      <c r="G357" s="15"/>
    </row>
    <row r="358" spans="2:50" outlineLevel="2" x14ac:dyDescent="0.25">
      <c r="B358" s="84"/>
      <c r="C358" s="86" t="s">
        <v>785</v>
      </c>
      <c r="D358" s="72" t="s">
        <v>786</v>
      </c>
      <c r="E358" s="72" t="s">
        <v>787</v>
      </c>
      <c r="F358" s="72" t="s">
        <v>788</v>
      </c>
      <c r="G358" s="70"/>
      <c r="H358" s="71"/>
      <c r="I358" s="39"/>
      <c r="J358" s="15"/>
      <c r="K358" s="15"/>
    </row>
    <row r="359" spans="2:50" outlineLevel="2" x14ac:dyDescent="0.25">
      <c r="B359" s="73">
        <v>2019</v>
      </c>
      <c r="C359" s="91">
        <v>0.75770999999999999</v>
      </c>
      <c r="D359" s="87">
        <v>1.4800000000000001E-2</v>
      </c>
      <c r="E359" s="87">
        <v>0.81789999999999996</v>
      </c>
      <c r="F359" s="87">
        <v>0.1673</v>
      </c>
      <c r="G359" s="68"/>
      <c r="H359" s="69"/>
      <c r="I359" s="15"/>
      <c r="J359" s="15"/>
      <c r="K359" s="15"/>
    </row>
    <row r="360" spans="2:50" outlineLevel="2" x14ac:dyDescent="0.25">
      <c r="B360" s="73">
        <v>2020</v>
      </c>
      <c r="C360" s="91">
        <v>0.54688999999999999</v>
      </c>
      <c r="D360" s="87">
        <v>6.6000000000000003E-2</v>
      </c>
      <c r="E360" s="87">
        <v>0.69469999999999998</v>
      </c>
      <c r="F360" s="87">
        <v>0.23930000000000001</v>
      </c>
      <c r="G360" s="68"/>
      <c r="H360" s="69"/>
      <c r="I360" s="15"/>
      <c r="J360" s="15"/>
      <c r="K360" s="15"/>
    </row>
    <row r="361" spans="2:50" outlineLevel="2" x14ac:dyDescent="0.25">
      <c r="B361" s="73">
        <v>2021</v>
      </c>
      <c r="C361" s="267">
        <v>0.63658000000000003</v>
      </c>
      <c r="D361" s="87">
        <v>7.5499999999999998E-2</v>
      </c>
      <c r="E361" s="87">
        <v>0.76370000000000005</v>
      </c>
      <c r="F361" s="87">
        <v>0.1608</v>
      </c>
      <c r="G361" s="68"/>
      <c r="H361" s="69"/>
      <c r="I361" s="15"/>
      <c r="J361" s="15"/>
      <c r="K361" s="15"/>
    </row>
    <row r="362" spans="2:50" outlineLevel="2" x14ac:dyDescent="0.25">
      <c r="B362" s="73">
        <v>2022</v>
      </c>
      <c r="C362" s="91">
        <v>0.71518000000000004</v>
      </c>
      <c r="D362" s="87">
        <v>7.22E-2</v>
      </c>
      <c r="E362" s="87">
        <v>0.83109999999999995</v>
      </c>
      <c r="F362" s="87">
        <v>9.6699999999999994E-2</v>
      </c>
      <c r="G362" s="68"/>
      <c r="H362" s="69"/>
      <c r="I362" s="15"/>
      <c r="J362" s="15"/>
      <c r="K362" s="15"/>
    </row>
    <row r="363" spans="2:50" outlineLevel="2" x14ac:dyDescent="0.25">
      <c r="B363" s="73">
        <v>2023</v>
      </c>
      <c r="C363" s="91">
        <v>0.71165999999999996</v>
      </c>
      <c r="D363" s="87">
        <v>6.1600000000000002E-2</v>
      </c>
      <c r="E363" s="87">
        <v>0.87129999999999996</v>
      </c>
      <c r="F363" s="87">
        <v>6.7100000000000007E-2</v>
      </c>
      <c r="G363" s="15"/>
      <c r="H363" s="15"/>
      <c r="I363" s="15"/>
      <c r="J363" s="15"/>
      <c r="K363" s="15"/>
    </row>
    <row r="364" spans="2:50" outlineLevel="2" x14ac:dyDescent="0.25">
      <c r="B364" s="64" t="s">
        <v>789</v>
      </c>
      <c r="C364" s="15"/>
      <c r="D364" s="15"/>
      <c r="E364" s="15"/>
      <c r="F364" s="15"/>
      <c r="G364" s="15"/>
      <c r="H364" s="15"/>
      <c r="I364" s="15"/>
      <c r="J364" s="15"/>
      <c r="K364" s="15"/>
    </row>
    <row r="365" spans="2:50" outlineLevel="1" x14ac:dyDescent="0.25">
      <c r="C365" s="39">
        <v>2023</v>
      </c>
      <c r="D365" s="39">
        <v>2024</v>
      </c>
      <c r="E365" s="39">
        <v>2025</v>
      </c>
      <c r="F365" s="39">
        <v>2026</v>
      </c>
      <c r="G365" s="39">
        <v>2027</v>
      </c>
      <c r="H365" s="39">
        <v>2028</v>
      </c>
      <c r="I365" s="39">
        <v>2029</v>
      </c>
      <c r="J365" s="39">
        <v>2030</v>
      </c>
      <c r="K365" s="39">
        <v>2031</v>
      </c>
      <c r="L365" s="39">
        <v>2032</v>
      </c>
      <c r="M365" s="39">
        <v>2033</v>
      </c>
      <c r="N365" s="39">
        <v>2034</v>
      </c>
      <c r="O365" s="39">
        <v>2035</v>
      </c>
      <c r="P365" s="39">
        <v>2036</v>
      </c>
      <c r="Q365" s="39">
        <v>2037</v>
      </c>
      <c r="R365" s="39">
        <v>2038</v>
      </c>
      <c r="S365" s="39">
        <v>2039</v>
      </c>
      <c r="T365" s="39">
        <v>2040</v>
      </c>
      <c r="U365" s="39">
        <v>2041</v>
      </c>
      <c r="V365" s="39">
        <v>2042</v>
      </c>
      <c r="W365" s="39">
        <v>2043</v>
      </c>
      <c r="X365" s="39">
        <v>2044</v>
      </c>
      <c r="Y365" s="39">
        <v>2045</v>
      </c>
      <c r="Z365" s="39">
        <v>2046</v>
      </c>
      <c r="AA365" s="39">
        <v>2047</v>
      </c>
      <c r="AB365" s="39">
        <v>2048</v>
      </c>
      <c r="AC365" s="39">
        <v>2049</v>
      </c>
      <c r="AD365" s="39">
        <v>2050</v>
      </c>
      <c r="AE365" s="39">
        <v>2051</v>
      </c>
      <c r="AF365" s="39">
        <v>2052</v>
      </c>
      <c r="AG365" s="39">
        <v>2053</v>
      </c>
      <c r="AH365" s="39">
        <v>2054</v>
      </c>
      <c r="AI365" s="39">
        <v>2055</v>
      </c>
      <c r="AJ365" s="39">
        <v>2056</v>
      </c>
      <c r="AK365" s="39">
        <v>2057</v>
      </c>
      <c r="AL365" s="39">
        <v>2058</v>
      </c>
      <c r="AM365" s="39">
        <v>2059</v>
      </c>
      <c r="AN365" s="39">
        <v>2060</v>
      </c>
      <c r="AO365" s="39">
        <v>2061</v>
      </c>
      <c r="AP365" s="39">
        <v>2062</v>
      </c>
      <c r="AQ365" s="39">
        <v>2063</v>
      </c>
      <c r="AR365" s="39">
        <v>2064</v>
      </c>
      <c r="AS365" s="39">
        <v>2065</v>
      </c>
      <c r="AT365" s="39">
        <v>2066</v>
      </c>
      <c r="AU365" s="39">
        <v>2067</v>
      </c>
      <c r="AV365" s="39">
        <v>2068</v>
      </c>
      <c r="AW365" s="39">
        <v>2069</v>
      </c>
      <c r="AX365" s="39">
        <v>2070</v>
      </c>
    </row>
    <row r="366" spans="2:50" outlineLevel="1" x14ac:dyDescent="0.25">
      <c r="B366" s="39" t="s">
        <v>790</v>
      </c>
      <c r="C366" s="270">
        <f>C363</f>
        <v>0.71165999999999996</v>
      </c>
      <c r="D366" s="265">
        <f>C366-($C$366-$J$366)/7</f>
        <v>0.65285142857142853</v>
      </c>
      <c r="E366" s="265">
        <f t="shared" ref="E366:I366" si="155">D366-($C$366-$J$366)/7</f>
        <v>0.59404285714285709</v>
      </c>
      <c r="F366" s="265">
        <f t="shared" si="155"/>
        <v>0.53523428571428566</v>
      </c>
      <c r="G366" s="265">
        <f t="shared" si="155"/>
        <v>0.47642571428571423</v>
      </c>
      <c r="H366" s="265">
        <f t="shared" si="155"/>
        <v>0.4176171428571428</v>
      </c>
      <c r="I366" s="265">
        <f t="shared" si="155"/>
        <v>0.35880857142857137</v>
      </c>
      <c r="J366" s="269">
        <v>0.3</v>
      </c>
      <c r="K366" s="265">
        <f>J366-($J$366-$T$366)/10</f>
        <v>0.27999999999999997</v>
      </c>
      <c r="L366" s="265">
        <f t="shared" ref="L366:S366" si="156">K366-($J$366-$T$366)/10</f>
        <v>0.25999999999999995</v>
      </c>
      <c r="M366" s="265">
        <f t="shared" si="156"/>
        <v>0.23999999999999996</v>
      </c>
      <c r="N366" s="265">
        <f>M366-($J$366-$T$366)/10</f>
        <v>0.21999999999999997</v>
      </c>
      <c r="O366" s="265">
        <f t="shared" si="156"/>
        <v>0.19999999999999998</v>
      </c>
      <c r="P366" s="265">
        <f t="shared" si="156"/>
        <v>0.18</v>
      </c>
      <c r="Q366" s="265">
        <f t="shared" si="156"/>
        <v>0.16</v>
      </c>
      <c r="R366" s="265">
        <f t="shared" si="156"/>
        <v>0.14000000000000001</v>
      </c>
      <c r="S366" s="265">
        <f t="shared" si="156"/>
        <v>0.12000000000000002</v>
      </c>
      <c r="T366" s="271">
        <v>0.1</v>
      </c>
      <c r="U366" s="265">
        <f>T366-($T$366-$AD$366)/10</f>
        <v>9.0000000000000011E-2</v>
      </c>
      <c r="V366" s="265">
        <f t="shared" ref="V366:AC366" si="157">U366-($T$366-$AD$366)/10</f>
        <v>8.0000000000000016E-2</v>
      </c>
      <c r="W366" s="265">
        <f t="shared" si="157"/>
        <v>7.0000000000000021E-2</v>
      </c>
      <c r="X366" s="265">
        <f t="shared" si="157"/>
        <v>6.0000000000000019E-2</v>
      </c>
      <c r="Y366" s="265">
        <f t="shared" si="157"/>
        <v>5.0000000000000017E-2</v>
      </c>
      <c r="Z366" s="265">
        <f t="shared" si="157"/>
        <v>4.0000000000000015E-2</v>
      </c>
      <c r="AA366" s="265">
        <f t="shared" si="157"/>
        <v>3.0000000000000013E-2</v>
      </c>
      <c r="AB366" s="265">
        <f t="shared" si="157"/>
        <v>2.0000000000000011E-2</v>
      </c>
      <c r="AC366" s="265">
        <f t="shared" si="157"/>
        <v>1.0000000000000011E-2</v>
      </c>
      <c r="AD366" s="268">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row>
    <row r="367" spans="2:50" outlineLevel="1" x14ac:dyDescent="0.25">
      <c r="B367" s="15"/>
      <c r="C367" s="15"/>
      <c r="D367" s="15"/>
      <c r="E367" s="15"/>
      <c r="F367" s="15"/>
      <c r="G367" s="15"/>
      <c r="H367" s="15"/>
      <c r="I367" s="15"/>
      <c r="J367" s="15"/>
      <c r="K367" s="15"/>
    </row>
    <row r="369" spans="2:28" ht="15.75" x14ac:dyDescent="0.25">
      <c r="B369" s="510" t="s">
        <v>791</v>
      </c>
      <c r="C369" s="511"/>
      <c r="D369" s="511"/>
      <c r="E369" s="511"/>
      <c r="F369" s="511"/>
      <c r="G369" s="511"/>
      <c r="H369" s="511"/>
      <c r="I369" s="511"/>
    </row>
    <row r="370" spans="2:28" ht="20.25" customHeight="1" x14ac:dyDescent="0.25">
      <c r="B370" s="514" t="s">
        <v>792</v>
      </c>
    </row>
    <row r="371" spans="2:28" ht="7.5" customHeight="1" outlineLevel="1" x14ac:dyDescent="0.25">
      <c r="B371" s="514"/>
    </row>
    <row r="372" spans="2:28" outlineLevel="1" x14ac:dyDescent="0.25">
      <c r="B372" s="514" t="s">
        <v>793</v>
      </c>
    </row>
    <row r="373" spans="2:28" ht="15" customHeight="1" outlineLevel="1" x14ac:dyDescent="0.25">
      <c r="B373" s="634"/>
      <c r="C373" s="975" t="s">
        <v>794</v>
      </c>
      <c r="D373" s="976"/>
      <c r="E373" s="975" t="s">
        <v>795</v>
      </c>
      <c r="F373" s="976"/>
      <c r="G373" s="975" t="s">
        <v>796</v>
      </c>
      <c r="H373" s="976"/>
      <c r="I373" s="975" t="s">
        <v>630</v>
      </c>
      <c r="J373" s="976"/>
      <c r="K373" s="975" t="s">
        <v>797</v>
      </c>
      <c r="L373" s="976"/>
      <c r="M373" s="281" t="s">
        <v>798</v>
      </c>
      <c r="N373" s="282"/>
      <c r="O373" s="975" t="s">
        <v>799</v>
      </c>
      <c r="P373" s="976"/>
      <c r="Q373" s="975" t="s">
        <v>800</v>
      </c>
      <c r="R373" s="976"/>
      <c r="S373" s="975" t="s">
        <v>801</v>
      </c>
      <c r="T373" s="976"/>
      <c r="U373" s="975" t="s">
        <v>802</v>
      </c>
      <c r="V373" s="976"/>
      <c r="W373" s="975" t="s">
        <v>803</v>
      </c>
      <c r="X373" s="976"/>
      <c r="Y373" s="975" t="s">
        <v>804</v>
      </c>
      <c r="Z373" s="976"/>
      <c r="AA373" s="975" t="s">
        <v>805</v>
      </c>
      <c r="AB373" s="976"/>
    </row>
    <row r="374" spans="2:28" outlineLevel="1" x14ac:dyDescent="0.25">
      <c r="B374" s="634" t="s">
        <v>806</v>
      </c>
      <c r="C374" s="135" t="s">
        <v>807</v>
      </c>
      <c r="D374" s="88" t="s">
        <v>808</v>
      </c>
      <c r="E374" s="135" t="s">
        <v>807</v>
      </c>
      <c r="F374" s="88" t="s">
        <v>808</v>
      </c>
      <c r="G374" s="135" t="s">
        <v>807</v>
      </c>
      <c r="H374" s="88" t="s">
        <v>808</v>
      </c>
      <c r="I374" s="135" t="s">
        <v>807</v>
      </c>
      <c r="J374" s="88" t="s">
        <v>808</v>
      </c>
      <c r="K374" s="135" t="s">
        <v>807</v>
      </c>
      <c r="L374" s="88" t="s">
        <v>808</v>
      </c>
      <c r="M374" s="135" t="s">
        <v>807</v>
      </c>
      <c r="N374" s="88" t="s">
        <v>808</v>
      </c>
      <c r="O374" s="135" t="s">
        <v>807</v>
      </c>
      <c r="P374" s="88" t="s">
        <v>808</v>
      </c>
      <c r="Q374" s="135" t="s">
        <v>807</v>
      </c>
      <c r="R374" s="88" t="s">
        <v>808</v>
      </c>
      <c r="S374" s="135" t="s">
        <v>807</v>
      </c>
      <c r="T374" s="88" t="s">
        <v>808</v>
      </c>
      <c r="U374" s="135" t="s">
        <v>807</v>
      </c>
      <c r="V374" s="88" t="s">
        <v>808</v>
      </c>
      <c r="W374" s="135" t="s">
        <v>807</v>
      </c>
      <c r="X374" s="88" t="s">
        <v>808</v>
      </c>
      <c r="Y374" s="135" t="s">
        <v>807</v>
      </c>
      <c r="Z374" s="88" t="s">
        <v>808</v>
      </c>
      <c r="AA374" s="135" t="s">
        <v>807</v>
      </c>
      <c r="AB374" s="88" t="s">
        <v>808</v>
      </c>
    </row>
    <row r="375" spans="2:28" outlineLevel="1" x14ac:dyDescent="0.25">
      <c r="B375" s="515" t="s">
        <v>809</v>
      </c>
      <c r="C375" s="134"/>
      <c r="D375" s="134">
        <v>135</v>
      </c>
      <c r="E375" s="134"/>
      <c r="F375" s="134">
        <v>120</v>
      </c>
      <c r="G375" s="134"/>
      <c r="H375" s="134">
        <v>100</v>
      </c>
      <c r="I375" s="134"/>
      <c r="J375" s="134">
        <v>110</v>
      </c>
      <c r="K375" s="134"/>
      <c r="L375" s="134">
        <v>95</v>
      </c>
      <c r="M375" s="134"/>
      <c r="N375" s="134">
        <v>140</v>
      </c>
      <c r="O375" s="134"/>
      <c r="P375" s="134">
        <v>125</v>
      </c>
      <c r="Q375" s="134"/>
      <c r="R375" s="134">
        <v>130</v>
      </c>
      <c r="S375" s="134"/>
      <c r="T375" s="134">
        <v>150</v>
      </c>
      <c r="U375" s="134"/>
      <c r="V375" s="134">
        <v>95</v>
      </c>
      <c r="W375" s="134"/>
      <c r="X375" s="134">
        <v>100</v>
      </c>
      <c r="Y375" s="134"/>
      <c r="Z375" s="134">
        <v>60</v>
      </c>
      <c r="AA375" s="134"/>
      <c r="AB375" s="134">
        <v>105</v>
      </c>
    </row>
    <row r="376" spans="2:28" outlineLevel="1" x14ac:dyDescent="0.25">
      <c r="B376" s="515" t="s">
        <v>810</v>
      </c>
      <c r="C376" s="134">
        <v>136</v>
      </c>
      <c r="D376" s="134">
        <v>160</v>
      </c>
      <c r="E376" s="134">
        <v>121</v>
      </c>
      <c r="F376" s="134">
        <v>140</v>
      </c>
      <c r="G376" s="134">
        <v>101</v>
      </c>
      <c r="H376" s="134">
        <v>120</v>
      </c>
      <c r="I376" s="134">
        <v>111</v>
      </c>
      <c r="J376" s="134">
        <v>130</v>
      </c>
      <c r="K376" s="134">
        <v>96</v>
      </c>
      <c r="L376" s="134">
        <v>125</v>
      </c>
      <c r="M376" s="134">
        <v>141</v>
      </c>
      <c r="N376" s="134">
        <v>165</v>
      </c>
      <c r="O376" s="134">
        <v>126</v>
      </c>
      <c r="P376" s="134">
        <v>145</v>
      </c>
      <c r="Q376" s="134">
        <v>131</v>
      </c>
      <c r="R376" s="134">
        <v>155</v>
      </c>
      <c r="S376" s="134">
        <v>151</v>
      </c>
      <c r="T376" s="134">
        <v>180</v>
      </c>
      <c r="U376" s="134">
        <v>96</v>
      </c>
      <c r="V376" s="134">
        <v>115</v>
      </c>
      <c r="W376" s="134">
        <v>101</v>
      </c>
      <c r="X376" s="134">
        <v>125</v>
      </c>
      <c r="Y376" s="134">
        <v>61</v>
      </c>
      <c r="Z376" s="134">
        <v>75</v>
      </c>
      <c r="AA376" s="134">
        <v>106</v>
      </c>
      <c r="AB376" s="134">
        <v>130</v>
      </c>
    </row>
    <row r="377" spans="2:28" outlineLevel="1" x14ac:dyDescent="0.25">
      <c r="B377" s="515" t="s">
        <v>811</v>
      </c>
      <c r="C377" s="134">
        <v>161</v>
      </c>
      <c r="D377" s="134">
        <v>185</v>
      </c>
      <c r="E377" s="134">
        <v>141</v>
      </c>
      <c r="F377" s="134">
        <v>160</v>
      </c>
      <c r="G377" s="134">
        <v>121</v>
      </c>
      <c r="H377" s="134">
        <v>140</v>
      </c>
      <c r="I377" s="134">
        <v>131</v>
      </c>
      <c r="J377" s="134">
        <v>150</v>
      </c>
      <c r="K377" s="134">
        <v>126</v>
      </c>
      <c r="L377" s="134">
        <v>160</v>
      </c>
      <c r="M377" s="134">
        <v>166</v>
      </c>
      <c r="N377" s="134">
        <v>200</v>
      </c>
      <c r="O377" s="134">
        <v>146</v>
      </c>
      <c r="P377" s="134">
        <v>180</v>
      </c>
      <c r="Q377" s="134">
        <v>156</v>
      </c>
      <c r="R377" s="134">
        <v>190</v>
      </c>
      <c r="S377" s="134">
        <v>181</v>
      </c>
      <c r="T377" s="134">
        <v>210</v>
      </c>
      <c r="U377" s="134">
        <v>116</v>
      </c>
      <c r="V377" s="134">
        <v>155</v>
      </c>
      <c r="W377" s="134">
        <v>126</v>
      </c>
      <c r="X377" s="134">
        <v>160</v>
      </c>
      <c r="Y377" s="134">
        <v>76</v>
      </c>
      <c r="Z377" s="134">
        <v>100</v>
      </c>
      <c r="AA377" s="134">
        <v>131</v>
      </c>
      <c r="AB377" s="134">
        <v>170</v>
      </c>
    </row>
    <row r="378" spans="2:28" outlineLevel="1" x14ac:dyDescent="0.25">
      <c r="B378" s="515" t="s">
        <v>812</v>
      </c>
      <c r="C378" s="134">
        <v>186</v>
      </c>
      <c r="D378" s="134">
        <v>235</v>
      </c>
      <c r="E378" s="134">
        <v>161</v>
      </c>
      <c r="F378" s="134">
        <v>210</v>
      </c>
      <c r="G378" s="134">
        <v>141</v>
      </c>
      <c r="H378" s="134">
        <v>200</v>
      </c>
      <c r="I378" s="134">
        <v>151</v>
      </c>
      <c r="J378" s="134">
        <v>180</v>
      </c>
      <c r="K378" s="134">
        <v>161</v>
      </c>
      <c r="L378" s="134">
        <v>210</v>
      </c>
      <c r="M378" s="134">
        <v>201</v>
      </c>
      <c r="N378" s="134">
        <v>240</v>
      </c>
      <c r="O378" s="134">
        <v>181</v>
      </c>
      <c r="P378" s="134">
        <v>220</v>
      </c>
      <c r="Q378" s="134">
        <v>191</v>
      </c>
      <c r="R378" s="134">
        <v>230</v>
      </c>
      <c r="S378" s="134">
        <v>211</v>
      </c>
      <c r="T378" s="134">
        <v>240</v>
      </c>
      <c r="U378" s="134">
        <v>156</v>
      </c>
      <c r="V378" s="134">
        <v>195</v>
      </c>
      <c r="W378" s="134">
        <v>161</v>
      </c>
      <c r="X378" s="134">
        <v>210</v>
      </c>
      <c r="Y378" s="134">
        <v>101</v>
      </c>
      <c r="Z378" s="134">
        <v>130</v>
      </c>
      <c r="AA378" s="134">
        <v>171</v>
      </c>
      <c r="AB378" s="134">
        <v>220</v>
      </c>
    </row>
    <row r="379" spans="2:28" outlineLevel="1" x14ac:dyDescent="0.25">
      <c r="B379" s="515" t="s">
        <v>813</v>
      </c>
      <c r="C379" s="134">
        <v>236</v>
      </c>
      <c r="D379" s="134">
        <v>285</v>
      </c>
      <c r="E379" s="134">
        <v>211</v>
      </c>
      <c r="F379" s="134">
        <v>260</v>
      </c>
      <c r="G379" s="134">
        <v>201</v>
      </c>
      <c r="H379" s="134">
        <v>250</v>
      </c>
      <c r="I379" s="134">
        <v>181</v>
      </c>
      <c r="J379" s="134">
        <v>220</v>
      </c>
      <c r="K379" s="134">
        <v>211</v>
      </c>
      <c r="L379" s="134">
        <v>260</v>
      </c>
      <c r="M379" s="134">
        <v>241</v>
      </c>
      <c r="N379" s="134">
        <v>290</v>
      </c>
      <c r="O379" s="134">
        <v>221</v>
      </c>
      <c r="P379" s="134">
        <v>270</v>
      </c>
      <c r="Q379" s="134">
        <v>231</v>
      </c>
      <c r="R379" s="134">
        <v>270</v>
      </c>
      <c r="S379" s="134">
        <v>241</v>
      </c>
      <c r="T379" s="134">
        <v>280</v>
      </c>
      <c r="U379" s="134">
        <v>196</v>
      </c>
      <c r="V379" s="134">
        <v>240</v>
      </c>
      <c r="W379" s="134">
        <v>211</v>
      </c>
      <c r="X379" s="134">
        <v>270</v>
      </c>
      <c r="Y379" s="134">
        <v>131</v>
      </c>
      <c r="Z379" s="134">
        <v>160</v>
      </c>
      <c r="AA379" s="134">
        <v>221</v>
      </c>
      <c r="AB379" s="134">
        <v>270</v>
      </c>
    </row>
    <row r="380" spans="2:28" outlineLevel="1" x14ac:dyDescent="0.25">
      <c r="B380" s="515" t="s">
        <v>814</v>
      </c>
      <c r="C380" s="134">
        <v>286</v>
      </c>
      <c r="D380" s="134">
        <v>350</v>
      </c>
      <c r="E380" s="134">
        <v>261</v>
      </c>
      <c r="F380" s="134">
        <v>330</v>
      </c>
      <c r="G380" s="134">
        <v>251</v>
      </c>
      <c r="H380" s="134">
        <v>320</v>
      </c>
      <c r="I380" s="134">
        <v>221</v>
      </c>
      <c r="J380" s="134">
        <v>260</v>
      </c>
      <c r="K380" s="134">
        <v>261</v>
      </c>
      <c r="L380" s="134">
        <v>320</v>
      </c>
      <c r="M380" s="134">
        <v>291</v>
      </c>
      <c r="N380" s="134">
        <v>350</v>
      </c>
      <c r="O380" s="134">
        <v>271</v>
      </c>
      <c r="P380" s="134">
        <v>320</v>
      </c>
      <c r="Q380" s="134">
        <v>271</v>
      </c>
      <c r="R380" s="134">
        <v>310</v>
      </c>
      <c r="S380" s="134">
        <v>281</v>
      </c>
      <c r="T380" s="134">
        <v>320</v>
      </c>
      <c r="U380" s="134">
        <v>241</v>
      </c>
      <c r="V380" s="134">
        <v>290</v>
      </c>
      <c r="W380" s="134">
        <v>271</v>
      </c>
      <c r="X380" s="134">
        <v>330</v>
      </c>
      <c r="Y380" s="134">
        <v>161</v>
      </c>
      <c r="Z380" s="134">
        <v>210</v>
      </c>
      <c r="AA380" s="134">
        <v>271</v>
      </c>
      <c r="AB380" s="134">
        <v>330</v>
      </c>
    </row>
    <row r="381" spans="2:28" outlineLevel="1" x14ac:dyDescent="0.25">
      <c r="B381" s="515" t="s">
        <v>815</v>
      </c>
      <c r="C381" s="134">
        <v>350</v>
      </c>
      <c r="D381" s="134"/>
      <c r="E381" s="134">
        <v>330</v>
      </c>
      <c r="F381" s="134"/>
      <c r="G381" s="134">
        <v>320</v>
      </c>
      <c r="H381" s="134"/>
      <c r="I381" s="134">
        <v>260</v>
      </c>
      <c r="J381" s="134"/>
      <c r="K381" s="134">
        <v>320</v>
      </c>
      <c r="L381" s="134"/>
      <c r="M381" s="134">
        <v>350</v>
      </c>
      <c r="N381" s="134"/>
      <c r="O381" s="134">
        <v>320</v>
      </c>
      <c r="P381" s="134"/>
      <c r="Q381" s="134">
        <v>310</v>
      </c>
      <c r="R381" s="134"/>
      <c r="S381" s="134">
        <v>320</v>
      </c>
      <c r="T381" s="134"/>
      <c r="U381" s="134">
        <v>290</v>
      </c>
      <c r="V381" s="134"/>
      <c r="W381" s="134">
        <v>330</v>
      </c>
      <c r="X381" s="134"/>
      <c r="Y381" s="134">
        <v>210</v>
      </c>
      <c r="Z381" s="134"/>
      <c r="AA381" s="134">
        <v>330</v>
      </c>
      <c r="AB381" s="134"/>
    </row>
    <row r="382" spans="2:28" outlineLevel="1" x14ac:dyDescent="0.25">
      <c r="B382" s="122" t="s">
        <v>816</v>
      </c>
      <c r="C382" s="15"/>
      <c r="D382" s="15"/>
      <c r="E382" s="15"/>
      <c r="F382" s="15"/>
    </row>
    <row r="383" spans="2:28" outlineLevel="1" x14ac:dyDescent="0.25">
      <c r="B383" s="241" t="s">
        <v>817</v>
      </c>
    </row>
    <row r="384" spans="2:28" ht="27" outlineLevel="1" x14ac:dyDescent="0.25">
      <c r="B384" s="635" t="s">
        <v>818</v>
      </c>
      <c r="C384" s="88" t="s">
        <v>819</v>
      </c>
      <c r="D384" s="88" t="s">
        <v>820</v>
      </c>
      <c r="E384" s="15"/>
      <c r="F384" s="15"/>
    </row>
    <row r="385" spans="2:6" outlineLevel="1" x14ac:dyDescent="0.25">
      <c r="B385" s="515"/>
      <c r="C385" s="134" t="s">
        <v>821</v>
      </c>
      <c r="D385" s="134" t="s">
        <v>822</v>
      </c>
      <c r="E385" s="15"/>
      <c r="F385" s="15"/>
    </row>
    <row r="386" spans="2:6" outlineLevel="1" x14ac:dyDescent="0.25">
      <c r="B386" s="515" t="s">
        <v>823</v>
      </c>
      <c r="C386" s="134">
        <v>430</v>
      </c>
      <c r="D386" s="134">
        <v>25</v>
      </c>
      <c r="E386" s="15"/>
      <c r="F386" s="15"/>
    </row>
    <row r="387" spans="2:6" outlineLevel="1" x14ac:dyDescent="0.25">
      <c r="B387" s="515" t="s">
        <v>630</v>
      </c>
      <c r="C387" s="134">
        <v>520</v>
      </c>
      <c r="D387" s="134">
        <v>30</v>
      </c>
      <c r="E387" s="15"/>
      <c r="F387" s="15"/>
    </row>
    <row r="388" spans="2:6" outlineLevel="1" x14ac:dyDescent="0.25">
      <c r="B388" s="515" t="s">
        <v>824</v>
      </c>
      <c r="C388" s="134">
        <v>100</v>
      </c>
      <c r="D388" s="134">
        <v>6</v>
      </c>
      <c r="E388" s="15"/>
      <c r="F388" s="15"/>
    </row>
    <row r="389" spans="2:6" outlineLevel="1" x14ac:dyDescent="0.25">
      <c r="B389" s="515" t="s">
        <v>825</v>
      </c>
      <c r="C389" s="134">
        <v>65</v>
      </c>
      <c r="D389" s="134">
        <v>4</v>
      </c>
      <c r="E389" s="15"/>
      <c r="F389" s="15"/>
    </row>
    <row r="390" spans="2:6" outlineLevel="1" x14ac:dyDescent="0.25">
      <c r="B390" s="515" t="s">
        <v>798</v>
      </c>
      <c r="C390" s="134">
        <v>520</v>
      </c>
      <c r="D390" s="134">
        <v>30</v>
      </c>
      <c r="E390" s="15"/>
      <c r="F390" s="15"/>
    </row>
    <row r="391" spans="2:6" outlineLevel="1" x14ac:dyDescent="0.25">
      <c r="B391" s="515" t="s">
        <v>826</v>
      </c>
      <c r="C391" s="134">
        <v>400</v>
      </c>
      <c r="D391" s="134">
        <v>23</v>
      </c>
      <c r="E391" s="15"/>
      <c r="F391" s="15"/>
    </row>
    <row r="392" spans="2:6" outlineLevel="1" x14ac:dyDescent="0.25">
      <c r="B392" s="515" t="s">
        <v>800</v>
      </c>
      <c r="C392" s="134">
        <v>340</v>
      </c>
      <c r="D392" s="134">
        <v>20</v>
      </c>
      <c r="E392" s="15"/>
      <c r="F392" s="15"/>
    </row>
    <row r="393" spans="2:6" outlineLevel="1" x14ac:dyDescent="0.25">
      <c r="B393" s="515" t="s">
        <v>827</v>
      </c>
      <c r="C393" s="134">
        <v>180</v>
      </c>
      <c r="D393" s="134">
        <v>10</v>
      </c>
      <c r="E393" s="15"/>
      <c r="F393" s="15"/>
    </row>
    <row r="394" spans="2:6" outlineLevel="1" x14ac:dyDescent="0.25">
      <c r="B394" s="515" t="s">
        <v>828</v>
      </c>
      <c r="C394" s="134">
        <v>460</v>
      </c>
      <c r="D394" s="134">
        <v>27</v>
      </c>
      <c r="E394" s="15"/>
      <c r="F394" s="15"/>
    </row>
    <row r="395" spans="2:6" outlineLevel="1" x14ac:dyDescent="0.25">
      <c r="B395" s="515" t="s">
        <v>829</v>
      </c>
      <c r="C395" s="134">
        <v>520</v>
      </c>
      <c r="D395" s="134">
        <v>30</v>
      </c>
      <c r="E395" s="15"/>
      <c r="F395" s="15"/>
    </row>
    <row r="396" spans="2:6" outlineLevel="1" x14ac:dyDescent="0.25">
      <c r="B396" s="122" t="s">
        <v>830</v>
      </c>
      <c r="C396" s="15"/>
      <c r="D396" s="15"/>
      <c r="E396" s="15"/>
      <c r="F396" s="15"/>
    </row>
    <row r="397" spans="2:6" outlineLevel="1" x14ac:dyDescent="0.25">
      <c r="B397" s="514"/>
    </row>
    <row r="398" spans="2:6" outlineLevel="1" x14ac:dyDescent="0.25">
      <c r="B398" s="514" t="s">
        <v>831</v>
      </c>
    </row>
    <row r="399" spans="2:6" ht="40.5" outlineLevel="1" x14ac:dyDescent="0.25">
      <c r="B399" s="515" t="s">
        <v>832</v>
      </c>
      <c r="C399" s="144">
        <v>0.65</v>
      </c>
    </row>
    <row r="400" spans="2:6" outlineLevel="1" x14ac:dyDescent="0.25">
      <c r="B400" s="515" t="s">
        <v>833</v>
      </c>
      <c r="C400" s="144">
        <v>0.9</v>
      </c>
    </row>
    <row r="401" spans="2:6" outlineLevel="1" x14ac:dyDescent="0.25">
      <c r="B401" s="515" t="s">
        <v>834</v>
      </c>
      <c r="C401" s="144">
        <v>0.65</v>
      </c>
    </row>
    <row r="402" spans="2:6" outlineLevel="1" x14ac:dyDescent="0.25">
      <c r="B402" s="515" t="s">
        <v>835</v>
      </c>
      <c r="C402" s="144">
        <v>0.4</v>
      </c>
    </row>
    <row r="403" spans="2:6" outlineLevel="1" x14ac:dyDescent="0.25">
      <c r="B403" s="515" t="s">
        <v>836</v>
      </c>
      <c r="C403" s="144">
        <v>0.2</v>
      </c>
    </row>
    <row r="404" spans="2:6" outlineLevel="1" x14ac:dyDescent="0.25">
      <c r="B404" s="515" t="s">
        <v>837</v>
      </c>
      <c r="C404" s="144">
        <v>1</v>
      </c>
    </row>
    <row r="405" spans="2:6" outlineLevel="1" x14ac:dyDescent="0.25">
      <c r="B405" s="515" t="s">
        <v>838</v>
      </c>
      <c r="C405" s="144">
        <v>1</v>
      </c>
    </row>
    <row r="406" spans="2:6" outlineLevel="1" x14ac:dyDescent="0.25">
      <c r="B406" s="515" t="s">
        <v>839</v>
      </c>
      <c r="C406" s="144">
        <v>1</v>
      </c>
    </row>
    <row r="407" spans="2:6" outlineLevel="1" x14ac:dyDescent="0.25">
      <c r="B407" s="515" t="s">
        <v>840</v>
      </c>
      <c r="C407" s="144">
        <v>1</v>
      </c>
    </row>
    <row r="408" spans="2:6" outlineLevel="1" x14ac:dyDescent="0.25">
      <c r="B408" s="515" t="s">
        <v>841</v>
      </c>
      <c r="C408" s="144">
        <v>2</v>
      </c>
    </row>
    <row r="409" spans="2:6" outlineLevel="1" x14ac:dyDescent="0.25">
      <c r="B409" s="636" t="s">
        <v>842</v>
      </c>
    </row>
    <row r="410" spans="2:6" x14ac:dyDescent="0.25">
      <c r="B410" s="514"/>
    </row>
    <row r="411" spans="2:6" x14ac:dyDescent="0.25">
      <c r="B411" s="514" t="s">
        <v>843</v>
      </c>
    </row>
    <row r="412" spans="2:6" hidden="1" outlineLevel="1" x14ac:dyDescent="0.25">
      <c r="B412" s="64" t="s">
        <v>844</v>
      </c>
    </row>
    <row r="413" spans="2:6" hidden="1" outlineLevel="1" x14ac:dyDescent="0.25">
      <c r="B413" s="64"/>
      <c r="C413" s="975" t="s">
        <v>845</v>
      </c>
      <c r="D413" s="976"/>
      <c r="E413" s="975" t="s">
        <v>846</v>
      </c>
      <c r="F413" s="976"/>
    </row>
    <row r="414" spans="2:6" hidden="1" outlineLevel="1" x14ac:dyDescent="0.25">
      <c r="B414" s="90" t="s">
        <v>847</v>
      </c>
      <c r="C414" s="93" t="s">
        <v>848</v>
      </c>
      <c r="D414" s="93" t="s">
        <v>849</v>
      </c>
      <c r="E414" s="93" t="s">
        <v>850</v>
      </c>
      <c r="F414" s="93" t="s">
        <v>851</v>
      </c>
    </row>
    <row r="415" spans="2:6" hidden="1" outlineLevel="1" x14ac:dyDescent="0.25">
      <c r="B415" s="74" t="s">
        <v>484</v>
      </c>
      <c r="C415" s="78">
        <v>0.19919000000000001</v>
      </c>
      <c r="D415" s="78"/>
      <c r="E415" s="166">
        <v>9.3000000000000007</v>
      </c>
      <c r="F415" s="167" t="s">
        <v>852</v>
      </c>
    </row>
    <row r="416" spans="2:6" hidden="1" outlineLevel="1" x14ac:dyDescent="0.25">
      <c r="B416" s="74" t="s">
        <v>539</v>
      </c>
      <c r="C416" s="78">
        <v>0.22975999999999999</v>
      </c>
      <c r="D416" s="78"/>
      <c r="E416" s="166">
        <v>12.8</v>
      </c>
      <c r="F416" s="78" t="s">
        <v>853</v>
      </c>
    </row>
    <row r="417" spans="2:9" hidden="1" outlineLevel="1" x14ac:dyDescent="0.25">
      <c r="B417" s="74" t="s">
        <v>540</v>
      </c>
      <c r="C417" s="78">
        <v>0.27456999999999998</v>
      </c>
      <c r="D417" s="78"/>
      <c r="E417" s="166">
        <v>10.8</v>
      </c>
      <c r="F417" s="78" t="s">
        <v>853</v>
      </c>
    </row>
    <row r="418" spans="2:9" hidden="1" outlineLevel="1" x14ac:dyDescent="0.25">
      <c r="B418" s="74" t="s">
        <v>489</v>
      </c>
      <c r="C418" s="78">
        <v>0.26633000000000001</v>
      </c>
      <c r="D418" s="161">
        <f>C418*9.94</f>
        <v>2.6473201999999998</v>
      </c>
      <c r="E418" s="166">
        <v>9.8981999999999992</v>
      </c>
      <c r="F418" s="168" t="s">
        <v>854</v>
      </c>
    </row>
    <row r="419" spans="2:9" hidden="1" outlineLevel="1" x14ac:dyDescent="0.25">
      <c r="B419" s="74" t="s">
        <v>490</v>
      </c>
      <c r="C419" s="78">
        <v>0.25420999999999999</v>
      </c>
      <c r="D419" s="161">
        <f>C419*9.5</f>
        <v>2.4149949999999998</v>
      </c>
      <c r="E419" s="166">
        <v>8.9913999999999987</v>
      </c>
      <c r="F419" s="168" t="s">
        <v>854</v>
      </c>
      <c r="I419" s="404"/>
    </row>
    <row r="420" spans="2:9" hidden="1" outlineLevel="1" x14ac:dyDescent="0.25">
      <c r="B420" s="74" t="s">
        <v>855</v>
      </c>
      <c r="C420" s="78">
        <v>7.7600000000000004E-3</v>
      </c>
      <c r="D420" s="78"/>
      <c r="E420" s="166"/>
      <c r="F420" s="78"/>
    </row>
    <row r="421" spans="2:9" hidden="1" outlineLevel="1" x14ac:dyDescent="0.25">
      <c r="B421" s="74" t="s">
        <v>536</v>
      </c>
      <c r="C421" s="78">
        <v>0.35482999999999998</v>
      </c>
      <c r="D421" s="78"/>
      <c r="E421" s="166"/>
      <c r="F421" s="78"/>
    </row>
    <row r="422" spans="2:9" hidden="1" outlineLevel="1" x14ac:dyDescent="0.25">
      <c r="B422" s="74" t="s">
        <v>856</v>
      </c>
      <c r="C422" s="78">
        <v>0.38345000000000001</v>
      </c>
      <c r="D422" s="78"/>
      <c r="E422" s="166"/>
      <c r="F422" s="78"/>
    </row>
    <row r="423" spans="2:9" hidden="1" outlineLevel="1" x14ac:dyDescent="0.25">
      <c r="B423" s="74" t="s">
        <v>492</v>
      </c>
      <c r="C423" s="78">
        <v>4.0999999999999999E-4</v>
      </c>
      <c r="D423" s="78"/>
      <c r="E423" s="166">
        <v>9.3000000000000007</v>
      </c>
      <c r="F423" s="167" t="s">
        <v>852</v>
      </c>
    </row>
    <row r="424" spans="2:9" ht="27" hidden="1" outlineLevel="1" x14ac:dyDescent="0.25">
      <c r="B424" s="74" t="s">
        <v>857</v>
      </c>
      <c r="C424" s="78">
        <v>4.4299999999999999E-3</v>
      </c>
      <c r="D424" s="78"/>
      <c r="E424" s="169">
        <v>800</v>
      </c>
      <c r="F424" s="167" t="s">
        <v>858</v>
      </c>
    </row>
    <row r="425" spans="2:9" hidden="1" outlineLevel="1" x14ac:dyDescent="0.25">
      <c r="B425" s="65" t="s">
        <v>859</v>
      </c>
    </row>
    <row r="426" spans="2:9" collapsed="1" x14ac:dyDescent="0.25"/>
  </sheetData>
  <mergeCells count="43">
    <mergeCell ref="C183:D183"/>
    <mergeCell ref="E183:F183"/>
    <mergeCell ref="G183:H183"/>
    <mergeCell ref="C193:D193"/>
    <mergeCell ref="E193:F193"/>
    <mergeCell ref="G193:H193"/>
    <mergeCell ref="AA373:AB373"/>
    <mergeCell ref="C315:D315"/>
    <mergeCell ref="E315:F315"/>
    <mergeCell ref="G315:H315"/>
    <mergeCell ref="D357:F357"/>
    <mergeCell ref="C373:D373"/>
    <mergeCell ref="I373:J373"/>
    <mergeCell ref="K373:L373"/>
    <mergeCell ref="Y373:Z373"/>
    <mergeCell ref="O373:P373"/>
    <mergeCell ref="Q373:R373"/>
    <mergeCell ref="S373:T373"/>
    <mergeCell ref="U373:V373"/>
    <mergeCell ref="W373:X373"/>
    <mergeCell ref="C38:D38"/>
    <mergeCell ref="E38:F38"/>
    <mergeCell ref="G38:H38"/>
    <mergeCell ref="C55:D55"/>
    <mergeCell ref="E55:F55"/>
    <mergeCell ref="G55:H55"/>
    <mergeCell ref="E204:F204"/>
    <mergeCell ref="G204:H204"/>
    <mergeCell ref="E373:F373"/>
    <mergeCell ref="G373:H373"/>
    <mergeCell ref="C413:D413"/>
    <mergeCell ref="E413:F413"/>
    <mergeCell ref="C204:D204"/>
    <mergeCell ref="C155:E155"/>
    <mergeCell ref="F155:H155"/>
    <mergeCell ref="I155:K155"/>
    <mergeCell ref="F78:G78"/>
    <mergeCell ref="C78:E78"/>
    <mergeCell ref="P146:Q146"/>
    <mergeCell ref="C147:E147"/>
    <mergeCell ref="F147:H147"/>
    <mergeCell ref="I147:K147"/>
    <mergeCell ref="B154:K154"/>
  </mergeCells>
  <phoneticPr fontId="16" type="noConversion"/>
  <hyperlinks>
    <hyperlink ref="B409" r:id="rId1" xr:uid="{3380B27A-3280-4940-AD62-540AB0884221}"/>
    <hyperlink ref="S290" r:id="rId2" xr:uid="{B31EE371-F7A5-469B-AFC7-B3D279775132}"/>
    <hyperlink ref="B96" r:id="rId3" xr:uid="{00B4E805-0F36-47ED-93B5-E8D8CD36EBF0}"/>
    <hyperlink ref="C238" r:id="rId4" xr:uid="{C60C33B3-75D9-490C-B4D3-877E4827F50A}"/>
    <hyperlink ref="M59" r:id="rId5" xr:uid="{10A984D8-27C0-484F-B793-4F990B76BA76}"/>
  </hyperlinks>
  <pageMargins left="0.7" right="0.7" top="0.75" bottom="0.75" header="0.3" footer="0.3"/>
  <pageSetup orientation="portrait" horizontalDpi="1200" verticalDpi="1200" r:id="rId6"/>
  <drawing r:id="rId7"/>
  <legacyDrawing r:id="rId8"/>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A8C1-DE69-40F5-9542-01FEDD7110A8}">
  <sheetPr>
    <tabColor rgb="FF00B050"/>
  </sheetPr>
  <dimension ref="A1:AV60"/>
  <sheetViews>
    <sheetView showGridLines="0" zoomScaleNormal="100" workbookViewId="0">
      <selection activeCell="C8" sqref="C8"/>
    </sheetView>
  </sheetViews>
  <sheetFormatPr defaultColWidth="8.85546875" defaultRowHeight="15" outlineLevelRow="1" x14ac:dyDescent="0.25"/>
  <cols>
    <col min="1" max="1" width="2.28515625" customWidth="1"/>
    <col min="2" max="2" width="48.140625" customWidth="1"/>
    <col min="3" max="4" width="11.285156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25.5" customHeight="1" x14ac:dyDescent="0.25">
      <c r="A3" s="260" t="s">
        <v>322</v>
      </c>
      <c r="B3" s="988" t="str">
        <f>"MEEDE: "&amp;VLOOKUP(A3,MEETMED!B:G,2,FALSE)</f>
        <v>MEEDE: Süsinikupüüdmine (Tallinna tööstuspiirkondadele rahvusvahelises koostöös)</v>
      </c>
      <c r="C3" s="988"/>
      <c r="D3" s="988"/>
      <c r="E3" s="988"/>
      <c r="F3" s="988"/>
      <c r="G3" s="990" t="str">
        <f>"TEGEVUS: "&amp;VLOOKUP(A3,MEETMED!B:G,3,FALSE)</f>
        <v>TEGEVUS: Vähendab tööstussektori CO₂ heidet</v>
      </c>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1073</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2"/>
    </row>
    <row r="7" spans="1:27" s="1" customFormat="1" ht="5.25" customHeight="1" outlineLevel="1" x14ac:dyDescent="0.25">
      <c r="D7" s="2"/>
    </row>
    <row r="8" spans="1:27" s="1" customFormat="1" outlineLevel="1" x14ac:dyDescent="0.25">
      <c r="B8" s="802" t="s">
        <v>862</v>
      </c>
      <c r="C8" s="902">
        <v>2028</v>
      </c>
      <c r="D8" s="7" t="s">
        <v>863</v>
      </c>
      <c r="E8" s="309"/>
      <c r="F8" s="7"/>
      <c r="G8" s="7"/>
      <c r="H8" s="7"/>
      <c r="I8" s="7"/>
      <c r="J8" s="7"/>
      <c r="K8" s="7"/>
      <c r="L8" s="277" t="s">
        <v>876</v>
      </c>
    </row>
    <row r="9" spans="1:27" s="1" customFormat="1" outlineLevel="1" x14ac:dyDescent="0.25">
      <c r="B9" s="802" t="s">
        <v>864</v>
      </c>
      <c r="C9" s="902">
        <v>2038</v>
      </c>
      <c r="D9" s="7" t="s">
        <v>863</v>
      </c>
      <c r="E9" s="309"/>
      <c r="F9" s="7"/>
      <c r="G9" s="7"/>
      <c r="H9" s="7"/>
      <c r="I9" s="7"/>
      <c r="J9" s="7"/>
      <c r="K9" s="7"/>
      <c r="L9" s="893" t="s">
        <v>1670</v>
      </c>
      <c r="M9" s="305" t="s">
        <v>877</v>
      </c>
    </row>
    <row r="10" spans="1:27" s="1" customFormat="1" outlineLevel="1" x14ac:dyDescent="0.25">
      <c r="B10" s="802" t="s">
        <v>865</v>
      </c>
      <c r="C10" s="847">
        <f>C9-C8+1</f>
        <v>11</v>
      </c>
      <c r="D10" s="7" t="s">
        <v>863</v>
      </c>
      <c r="E10" s="7"/>
      <c r="F10" s="7"/>
      <c r="G10" s="7"/>
      <c r="H10" s="7"/>
      <c r="I10" s="7"/>
      <c r="J10" s="7"/>
      <c r="K10" s="7"/>
      <c r="L10" s="892" t="s">
        <v>878</v>
      </c>
      <c r="M10" s="305" t="s">
        <v>1669</v>
      </c>
    </row>
    <row r="11" spans="1:27" s="1" customFormat="1" outlineLevel="1" x14ac:dyDescent="0.25">
      <c r="B11" s="822"/>
      <c r="C11" s="740"/>
      <c r="D11" s="2"/>
      <c r="L11" s="892" t="s">
        <v>1671</v>
      </c>
      <c r="M11" s="228">
        <v>1234</v>
      </c>
    </row>
    <row r="12" spans="1:27" s="1" customFormat="1" outlineLevel="1" x14ac:dyDescent="0.25">
      <c r="B12" s="802" t="s">
        <v>1586</v>
      </c>
      <c r="C12" s="903">
        <f>SISENDID!H317</f>
        <v>27485</v>
      </c>
      <c r="D12" s="7" t="s">
        <v>1653</v>
      </c>
      <c r="E12" s="309"/>
      <c r="F12" s="7" t="s">
        <v>1654</v>
      </c>
      <c r="G12" s="7"/>
      <c r="H12" s="7"/>
      <c r="I12" s="7"/>
      <c r="J12" s="7"/>
      <c r="K12" s="7"/>
      <c r="L12" s="7"/>
    </row>
    <row r="13" spans="1:27" s="1" customFormat="1" outlineLevel="1" x14ac:dyDescent="0.25">
      <c r="B13" s="802" t="s">
        <v>880</v>
      </c>
      <c r="C13" s="908">
        <v>0.33</v>
      </c>
      <c r="D13" s="7" t="s">
        <v>1057</v>
      </c>
      <c r="E13" s="309"/>
      <c r="F13" s="7" t="s">
        <v>1655</v>
      </c>
      <c r="G13" s="7"/>
      <c r="H13" s="7"/>
      <c r="I13" s="7"/>
      <c r="J13" s="7"/>
      <c r="K13" s="7"/>
      <c r="L13" s="7"/>
    </row>
    <row r="14" spans="1:27" s="1" customFormat="1" outlineLevel="1" x14ac:dyDescent="0.25">
      <c r="B14" s="802" t="s">
        <v>882</v>
      </c>
      <c r="C14" s="847">
        <f>C12/C10*C13</f>
        <v>824.55</v>
      </c>
      <c r="D14" s="7" t="s">
        <v>1653</v>
      </c>
      <c r="E14" s="7"/>
      <c r="F14" s="7"/>
      <c r="G14" s="7"/>
      <c r="H14" s="7"/>
      <c r="I14" s="7"/>
      <c r="J14" s="7"/>
      <c r="K14" s="7"/>
      <c r="L14" s="7"/>
    </row>
    <row r="15" spans="1:27" s="1" customFormat="1" outlineLevel="1" x14ac:dyDescent="0.25">
      <c r="B15" s="802" t="s">
        <v>1590</v>
      </c>
      <c r="C15" s="903">
        <v>0</v>
      </c>
      <c r="D15" s="7" t="s">
        <v>1656</v>
      </c>
      <c r="F15" s="7" t="s">
        <v>1657</v>
      </c>
      <c r="G15" s="7"/>
      <c r="H15" s="7"/>
      <c r="I15" s="7"/>
      <c r="J15" s="7"/>
      <c r="K15" s="7"/>
      <c r="L15" s="7"/>
    </row>
    <row r="16" spans="1:27" s="1" customFormat="1" outlineLevel="1" x14ac:dyDescent="0.25">
      <c r="B16" s="808" t="s">
        <v>1658</v>
      </c>
      <c r="C16" s="858" t="s">
        <v>1659</v>
      </c>
      <c r="D16" s="306"/>
      <c r="E16" s="306" t="s">
        <v>521</v>
      </c>
      <c r="F16" s="7"/>
      <c r="G16" s="7"/>
      <c r="H16" s="7"/>
      <c r="I16" s="7"/>
      <c r="J16" s="7"/>
      <c r="K16" s="7"/>
      <c r="L16" s="7"/>
    </row>
    <row r="17" spans="1:34" s="1" customFormat="1" outlineLevel="1" x14ac:dyDescent="0.25">
      <c r="B17" s="802" t="s">
        <v>1660</v>
      </c>
      <c r="C17" s="903">
        <v>70</v>
      </c>
      <c r="D17" s="7" t="s">
        <v>1656</v>
      </c>
      <c r="E17" s="914">
        <v>0.5</v>
      </c>
      <c r="F17" s="7" t="s">
        <v>1661</v>
      </c>
      <c r="G17" s="7"/>
      <c r="H17" s="7"/>
      <c r="I17" s="7"/>
      <c r="J17" s="7"/>
      <c r="K17" s="7"/>
      <c r="L17" s="7"/>
    </row>
    <row r="18" spans="1:34" s="1" customFormat="1" outlineLevel="1" x14ac:dyDescent="0.25">
      <c r="B18" s="802" t="s">
        <v>1662</v>
      </c>
      <c r="C18" s="903">
        <v>50</v>
      </c>
      <c r="D18" s="7" t="s">
        <v>1656</v>
      </c>
      <c r="E18" s="914">
        <v>0.2</v>
      </c>
      <c r="F18" s="7" t="s">
        <v>1663</v>
      </c>
      <c r="G18" s="7"/>
      <c r="H18" s="7"/>
      <c r="I18" s="7"/>
      <c r="J18" s="7"/>
      <c r="K18" s="7"/>
      <c r="L18" s="7"/>
    </row>
    <row r="19" spans="1:34" s="1" customFormat="1" outlineLevel="1" x14ac:dyDescent="0.25">
      <c r="B19" s="802" t="s">
        <v>1664</v>
      </c>
      <c r="C19" s="903">
        <v>70</v>
      </c>
      <c r="D19" s="7" t="s">
        <v>1656</v>
      </c>
      <c r="E19" s="914">
        <v>0.3</v>
      </c>
      <c r="F19" s="7" t="s">
        <v>1665</v>
      </c>
      <c r="G19" s="7"/>
      <c r="H19" s="7"/>
      <c r="I19" s="7"/>
      <c r="J19" s="7"/>
      <c r="K19" s="7"/>
      <c r="L19" s="7"/>
    </row>
    <row r="20" spans="1:34" outlineLevel="1" x14ac:dyDescent="0.25">
      <c r="A20" s="1"/>
      <c r="B20" s="802" t="s">
        <v>894</v>
      </c>
      <c r="C20" s="907">
        <v>25</v>
      </c>
      <c r="D20" s="7" t="s">
        <v>863</v>
      </c>
      <c r="E20" s="165">
        <f>SUM(E17:E19)</f>
        <v>1</v>
      </c>
      <c r="F20" s="7"/>
      <c r="G20" s="7"/>
      <c r="H20" s="7"/>
      <c r="I20" s="7"/>
      <c r="J20" s="7"/>
      <c r="K20" s="7"/>
      <c r="L20" s="7"/>
      <c r="M20" s="1"/>
      <c r="N20" s="1"/>
      <c r="O20" s="1"/>
      <c r="P20" s="1"/>
      <c r="Q20" s="1"/>
      <c r="R20" s="1"/>
      <c r="S20" s="1"/>
      <c r="T20" s="1"/>
      <c r="U20" s="1"/>
      <c r="V20" s="1"/>
      <c r="W20" s="1"/>
      <c r="X20" s="1"/>
      <c r="Y20" s="1"/>
      <c r="Z20" s="1"/>
      <c r="AA20" s="1"/>
      <c r="AB20" s="1"/>
      <c r="AC20" s="1"/>
      <c r="AD20" s="1"/>
      <c r="AE20" s="1"/>
      <c r="AF20" s="1"/>
      <c r="AG20" s="1"/>
      <c r="AH20" s="1"/>
    </row>
    <row r="21" spans="1:34" s="1" customFormat="1" ht="15" customHeight="1" x14ac:dyDescent="0.25">
      <c r="B21" s="6"/>
      <c r="C21" s="6"/>
      <c r="D21" s="7"/>
      <c r="E21" s="7"/>
    </row>
    <row r="22" spans="1:34" x14ac:dyDescent="0.25">
      <c r="A22" s="1"/>
      <c r="B22" s="659" t="s">
        <v>895</v>
      </c>
      <c r="C22" s="659"/>
      <c r="D22" s="659"/>
      <c r="E22" s="659"/>
      <c r="F22" s="659"/>
      <c r="G22" s="659"/>
      <c r="H22" s="659"/>
      <c r="I22" s="659"/>
      <c r="J22" s="659"/>
      <c r="K22" s="659"/>
      <c r="L22" s="659"/>
      <c r="M22" s="1"/>
      <c r="N22" s="1"/>
      <c r="O22" s="1"/>
      <c r="P22" s="1"/>
      <c r="Q22" s="1"/>
      <c r="R22" s="1"/>
      <c r="S22" s="1"/>
      <c r="T22" s="1"/>
      <c r="U22" s="1"/>
      <c r="V22" s="1"/>
      <c r="W22" s="1"/>
      <c r="X22" s="1"/>
      <c r="Y22" s="1"/>
      <c r="Z22" s="1"/>
      <c r="AA22" s="1"/>
      <c r="AB22" s="1"/>
      <c r="AC22" s="1"/>
      <c r="AD22" s="1"/>
      <c r="AE22" s="1"/>
      <c r="AF22" s="1"/>
      <c r="AG22" s="1"/>
      <c r="AH22" s="1"/>
    </row>
    <row r="23" spans="1:34" s="1" customFormat="1" ht="9.75" customHeight="1" outlineLevel="1" x14ac:dyDescent="0.25"/>
    <row r="24" spans="1:34" s="1" customFormat="1" outlineLevel="1" x14ac:dyDescent="0.25">
      <c r="A24" s="2"/>
      <c r="B24" s="13" t="s">
        <v>896</v>
      </c>
      <c r="D24" s="43"/>
      <c r="E24" s="284" t="s">
        <v>897</v>
      </c>
    </row>
    <row r="25" spans="1:34" s="1" customFormat="1" outlineLevel="1" x14ac:dyDescent="0.25">
      <c r="A25" s="2"/>
      <c r="B25" s="660" t="s">
        <v>898</v>
      </c>
      <c r="C25" s="665" t="s">
        <v>899</v>
      </c>
      <c r="D25" s="43"/>
      <c r="E25" s="661"/>
      <c r="F25" s="662" t="s">
        <v>900</v>
      </c>
    </row>
    <row r="26" spans="1:34" s="1" customFormat="1" outlineLevel="1" x14ac:dyDescent="0.25">
      <c r="A26" s="2"/>
      <c r="B26" s="663" t="s">
        <v>398</v>
      </c>
      <c r="C26" s="666">
        <v>0</v>
      </c>
      <c r="E26" s="663">
        <v>2030</v>
      </c>
      <c r="F26" s="670">
        <f>H47</f>
        <v>2473.6499999999996</v>
      </c>
    </row>
    <row r="27" spans="1:34" s="1" customFormat="1" outlineLevel="1" x14ac:dyDescent="0.25">
      <c r="A27" s="2"/>
      <c r="B27" s="155" t="s">
        <v>399</v>
      </c>
      <c r="C27" s="667">
        <v>0</v>
      </c>
      <c r="E27" s="155">
        <v>2035</v>
      </c>
      <c r="F27" s="428">
        <f>M47</f>
        <v>6596.4000000000005</v>
      </c>
    </row>
    <row r="28" spans="1:34" s="1" customFormat="1" ht="15.75" customHeight="1" outlineLevel="1" x14ac:dyDescent="0.25">
      <c r="B28" s="663" t="s">
        <v>400</v>
      </c>
      <c r="C28" s="666">
        <f>SUM(D46:AB46)/25/1000</f>
        <v>-1.0545289635159065</v>
      </c>
      <c r="E28" s="663">
        <v>2040</v>
      </c>
      <c r="F28" s="670">
        <f>R47</f>
        <v>9070.0499999999993</v>
      </c>
    </row>
    <row r="29" spans="1:34" s="1" customFormat="1" outlineLevel="1" x14ac:dyDescent="0.25">
      <c r="B29" s="155" t="s">
        <v>401</v>
      </c>
      <c r="C29" s="667">
        <v>0</v>
      </c>
      <c r="E29" s="155">
        <v>2045</v>
      </c>
      <c r="F29" s="428">
        <f>W47</f>
        <v>9070.0499999999993</v>
      </c>
    </row>
    <row r="30" spans="1:34" s="1" customFormat="1" outlineLevel="1" x14ac:dyDescent="0.25">
      <c r="B30" s="663" t="s">
        <v>901</v>
      </c>
      <c r="C30" s="670">
        <f>MAX(D47:AR47)</f>
        <v>9070.0499999999993</v>
      </c>
      <c r="E30" s="663">
        <v>2050</v>
      </c>
      <c r="F30" s="670">
        <f>AB47</f>
        <v>9070.0499999999993</v>
      </c>
    </row>
    <row r="31" spans="1:34" s="1" customFormat="1" outlineLevel="1" x14ac:dyDescent="0.25">
      <c r="B31" s="155" t="s">
        <v>403</v>
      </c>
      <c r="C31" s="296">
        <f>SUM(D46:AV46)*1000/SUM(D47:AV47)</f>
        <v>-202.09196000010144</v>
      </c>
      <c r="E31" s="7"/>
    </row>
    <row r="32" spans="1:34" s="1" customFormat="1" outlineLevel="1" x14ac:dyDescent="0.25"/>
    <row r="33" spans="1:48" s="1" customFormat="1" outlineLevel="1" x14ac:dyDescent="0.25">
      <c r="A33" s="2"/>
      <c r="B33" s="284" t="s">
        <v>903</v>
      </c>
      <c r="D33" s="43"/>
      <c r="E33" s="7"/>
      <c r="I33" s="277" t="s">
        <v>876</v>
      </c>
    </row>
    <row r="34" spans="1:48" s="1" customFormat="1" ht="16.5" customHeight="1" outlineLevel="1" x14ac:dyDescent="0.25">
      <c r="A34" s="2"/>
      <c r="B34" s="155" t="s">
        <v>904</v>
      </c>
      <c r="C34" s="307" t="s">
        <v>905</v>
      </c>
      <c r="D34" s="12"/>
      <c r="E34" s="12"/>
      <c r="F34" s="12"/>
      <c r="G34" s="12"/>
      <c r="H34" s="12"/>
      <c r="I34" s="311" t="s">
        <v>474</v>
      </c>
      <c r="J34" s="295" t="s">
        <v>906</v>
      </c>
    </row>
    <row r="35" spans="1:48" s="1" customFormat="1" ht="16.5" customHeight="1" outlineLevel="1" x14ac:dyDescent="0.25">
      <c r="A35" s="2"/>
      <c r="B35" s="155" t="s">
        <v>907</v>
      </c>
      <c r="C35" s="307" t="s">
        <v>905</v>
      </c>
      <c r="D35" s="397">
        <f>IF(C35="Kõrge",3,IF(C35="Mõõdukas",2,1))</f>
        <v>2</v>
      </c>
      <c r="E35" s="12"/>
      <c r="F35" s="12"/>
      <c r="G35" s="12"/>
      <c r="H35" s="12"/>
      <c r="I35" s="312" t="s">
        <v>905</v>
      </c>
      <c r="J35" s="295" t="s">
        <v>908</v>
      </c>
    </row>
    <row r="36" spans="1:48" s="1" customFormat="1" outlineLevel="1" x14ac:dyDescent="0.25">
      <c r="A36" s="2"/>
      <c r="B36" s="155" t="s">
        <v>909</v>
      </c>
      <c r="C36" s="307" t="s">
        <v>905</v>
      </c>
      <c r="D36" s="397">
        <f>IF(C36="Kõrge",3,IF(C36="Mõõdukas",2,1))</f>
        <v>2</v>
      </c>
      <c r="E36" s="12"/>
      <c r="F36" s="12"/>
      <c r="I36" s="313" t="s">
        <v>910</v>
      </c>
      <c r="J36" s="295" t="s">
        <v>911</v>
      </c>
    </row>
    <row r="37" spans="1:48" s="1" customFormat="1" ht="16.5" customHeight="1" x14ac:dyDescent="0.25">
      <c r="C37" s="399" t="s">
        <v>912</v>
      </c>
      <c r="D37" s="398">
        <f>D36+D35</f>
        <v>4</v>
      </c>
    </row>
    <row r="38" spans="1:48" x14ac:dyDescent="0.25">
      <c r="A38" s="1"/>
      <c r="B38" s="659" t="s">
        <v>913</v>
      </c>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8"/>
      <c r="AD38" s="658"/>
      <c r="AE38" s="658"/>
      <c r="AF38" s="658"/>
      <c r="AG38" s="658"/>
      <c r="AH38" s="658"/>
      <c r="AI38" s="658"/>
      <c r="AJ38" s="658"/>
      <c r="AK38" s="658"/>
      <c r="AL38" s="658"/>
      <c r="AM38" s="658"/>
      <c r="AN38" s="658"/>
      <c r="AO38" s="658"/>
      <c r="AP38" s="658"/>
      <c r="AQ38" s="658"/>
      <c r="AR38" s="658"/>
      <c r="AS38" s="658"/>
      <c r="AT38" s="658"/>
      <c r="AU38" s="658"/>
      <c r="AV38" s="658"/>
    </row>
    <row r="39" spans="1:48" s="15" customFormat="1" ht="7.5" customHeight="1" outlineLevel="1" x14ac:dyDescent="0.25"/>
    <row r="40" spans="1:48" s="15" customFormat="1" ht="13.5" outlineLevel="1" x14ac:dyDescent="0.25">
      <c r="B40" s="715" t="s">
        <v>914</v>
      </c>
      <c r="C40" s="719"/>
      <c r="D40" s="432">
        <v>2026</v>
      </c>
      <c r="E40" s="432">
        <f>D40+1</f>
        <v>2027</v>
      </c>
      <c r="F40" s="432">
        <f t="shared" ref="F40:AV40" si="0">E40+1</f>
        <v>2028</v>
      </c>
      <c r="G40" s="432">
        <f t="shared" si="0"/>
        <v>2029</v>
      </c>
      <c r="H40" s="432">
        <f t="shared" si="0"/>
        <v>2030</v>
      </c>
      <c r="I40" s="432">
        <f t="shared" si="0"/>
        <v>2031</v>
      </c>
      <c r="J40" s="432">
        <f t="shared" si="0"/>
        <v>2032</v>
      </c>
      <c r="K40" s="432">
        <f t="shared" si="0"/>
        <v>2033</v>
      </c>
      <c r="L40" s="432">
        <f t="shared" si="0"/>
        <v>2034</v>
      </c>
      <c r="M40" s="432">
        <f t="shared" si="0"/>
        <v>2035</v>
      </c>
      <c r="N40" s="432">
        <f>M40+1</f>
        <v>2036</v>
      </c>
      <c r="O40" s="432">
        <f t="shared" si="0"/>
        <v>2037</v>
      </c>
      <c r="P40" s="432">
        <f t="shared" si="0"/>
        <v>2038</v>
      </c>
      <c r="Q40" s="432">
        <f t="shared" si="0"/>
        <v>2039</v>
      </c>
      <c r="R40" s="432">
        <f t="shared" si="0"/>
        <v>2040</v>
      </c>
      <c r="S40" s="432">
        <f>R40+1</f>
        <v>2041</v>
      </c>
      <c r="T40" s="432">
        <f>S40+1</f>
        <v>2042</v>
      </c>
      <c r="U40" s="432">
        <f>T40+1</f>
        <v>2043</v>
      </c>
      <c r="V40" s="432">
        <f t="shared" si="0"/>
        <v>2044</v>
      </c>
      <c r="W40" s="432">
        <f t="shared" si="0"/>
        <v>2045</v>
      </c>
      <c r="X40" s="432">
        <f t="shared" si="0"/>
        <v>2046</v>
      </c>
      <c r="Y40" s="432">
        <f t="shared" si="0"/>
        <v>2047</v>
      </c>
      <c r="Z40" s="432">
        <f t="shared" si="0"/>
        <v>2048</v>
      </c>
      <c r="AA40" s="432">
        <f t="shared" si="0"/>
        <v>2049</v>
      </c>
      <c r="AB40" s="432">
        <f t="shared" si="0"/>
        <v>2050</v>
      </c>
      <c r="AC40" s="432">
        <f t="shared" si="0"/>
        <v>2051</v>
      </c>
      <c r="AD40" s="432">
        <f t="shared" si="0"/>
        <v>2052</v>
      </c>
      <c r="AE40" s="432">
        <f t="shared" si="0"/>
        <v>2053</v>
      </c>
      <c r="AF40" s="432">
        <f t="shared" si="0"/>
        <v>2054</v>
      </c>
      <c r="AG40" s="432">
        <f t="shared" si="0"/>
        <v>2055</v>
      </c>
      <c r="AH40" s="432">
        <f t="shared" si="0"/>
        <v>2056</v>
      </c>
      <c r="AI40" s="432">
        <f t="shared" si="0"/>
        <v>2057</v>
      </c>
      <c r="AJ40" s="432">
        <f t="shared" si="0"/>
        <v>2058</v>
      </c>
      <c r="AK40" s="432">
        <f t="shared" si="0"/>
        <v>2059</v>
      </c>
      <c r="AL40" s="432">
        <f t="shared" si="0"/>
        <v>2060</v>
      </c>
      <c r="AM40" s="432">
        <f t="shared" si="0"/>
        <v>2061</v>
      </c>
      <c r="AN40" s="432">
        <f t="shared" si="0"/>
        <v>2062</v>
      </c>
      <c r="AO40" s="432">
        <f t="shared" si="0"/>
        <v>2063</v>
      </c>
      <c r="AP40" s="432">
        <f t="shared" si="0"/>
        <v>2064</v>
      </c>
      <c r="AQ40" s="432">
        <f t="shared" si="0"/>
        <v>2065</v>
      </c>
      <c r="AR40" s="432">
        <f t="shared" si="0"/>
        <v>2066</v>
      </c>
      <c r="AS40" s="432">
        <f t="shared" si="0"/>
        <v>2067</v>
      </c>
      <c r="AT40" s="432">
        <f t="shared" si="0"/>
        <v>2068</v>
      </c>
      <c r="AU40" s="432">
        <f t="shared" si="0"/>
        <v>2069</v>
      </c>
      <c r="AV40" s="716">
        <f t="shared" si="0"/>
        <v>2070</v>
      </c>
    </row>
    <row r="41" spans="1:48" s="15" customFormat="1" ht="13.5" outlineLevel="1" x14ac:dyDescent="0.25">
      <c r="B41" s="671" t="s">
        <v>1343</v>
      </c>
      <c r="C41" s="674" t="s">
        <v>1567</v>
      </c>
      <c r="D41" s="675">
        <f>IF(OR(D40&lt;$C$8,D40&gt;$C$9),0,1)</f>
        <v>0</v>
      </c>
      <c r="E41" s="675">
        <f t="shared" ref="E41:AV41" si="1">IF(OR(E40&lt;$C$8,E40&gt;$C$9),0,1)</f>
        <v>0</v>
      </c>
      <c r="F41" s="675">
        <f t="shared" si="1"/>
        <v>1</v>
      </c>
      <c r="G41" s="675">
        <f t="shared" si="1"/>
        <v>1</v>
      </c>
      <c r="H41" s="675">
        <f t="shared" si="1"/>
        <v>1</v>
      </c>
      <c r="I41" s="675">
        <f t="shared" si="1"/>
        <v>1</v>
      </c>
      <c r="J41" s="675">
        <f t="shared" si="1"/>
        <v>1</v>
      </c>
      <c r="K41" s="675">
        <f t="shared" si="1"/>
        <v>1</v>
      </c>
      <c r="L41" s="675">
        <f t="shared" si="1"/>
        <v>1</v>
      </c>
      <c r="M41" s="675">
        <f t="shared" si="1"/>
        <v>1</v>
      </c>
      <c r="N41" s="675">
        <f t="shared" si="1"/>
        <v>1</v>
      </c>
      <c r="O41" s="675">
        <f t="shared" si="1"/>
        <v>1</v>
      </c>
      <c r="P41" s="675">
        <f t="shared" si="1"/>
        <v>1</v>
      </c>
      <c r="Q41" s="675">
        <f t="shared" si="1"/>
        <v>0</v>
      </c>
      <c r="R41" s="675">
        <f t="shared" si="1"/>
        <v>0</v>
      </c>
      <c r="S41" s="675">
        <f t="shared" si="1"/>
        <v>0</v>
      </c>
      <c r="T41" s="675">
        <f t="shared" si="1"/>
        <v>0</v>
      </c>
      <c r="U41" s="675">
        <f t="shared" si="1"/>
        <v>0</v>
      </c>
      <c r="V41" s="675">
        <f t="shared" si="1"/>
        <v>0</v>
      </c>
      <c r="W41" s="675">
        <f t="shared" si="1"/>
        <v>0</v>
      </c>
      <c r="X41" s="675">
        <f t="shared" si="1"/>
        <v>0</v>
      </c>
      <c r="Y41" s="675">
        <f t="shared" si="1"/>
        <v>0</v>
      </c>
      <c r="Z41" s="675">
        <f t="shared" si="1"/>
        <v>0</v>
      </c>
      <c r="AA41" s="675">
        <f t="shared" si="1"/>
        <v>0</v>
      </c>
      <c r="AB41" s="675">
        <f t="shared" si="1"/>
        <v>0</v>
      </c>
      <c r="AC41" s="675">
        <f t="shared" si="1"/>
        <v>0</v>
      </c>
      <c r="AD41" s="675">
        <f t="shared" si="1"/>
        <v>0</v>
      </c>
      <c r="AE41" s="675">
        <f t="shared" si="1"/>
        <v>0</v>
      </c>
      <c r="AF41" s="675">
        <f t="shared" si="1"/>
        <v>0</v>
      </c>
      <c r="AG41" s="675">
        <f t="shared" si="1"/>
        <v>0</v>
      </c>
      <c r="AH41" s="675">
        <f t="shared" si="1"/>
        <v>0</v>
      </c>
      <c r="AI41" s="675">
        <f t="shared" si="1"/>
        <v>0</v>
      </c>
      <c r="AJ41" s="675">
        <f t="shared" si="1"/>
        <v>0</v>
      </c>
      <c r="AK41" s="675">
        <f t="shared" si="1"/>
        <v>0</v>
      </c>
      <c r="AL41" s="675">
        <f t="shared" si="1"/>
        <v>0</v>
      </c>
      <c r="AM41" s="675">
        <f t="shared" si="1"/>
        <v>0</v>
      </c>
      <c r="AN41" s="675">
        <f t="shared" si="1"/>
        <v>0</v>
      </c>
      <c r="AO41" s="675">
        <f t="shared" si="1"/>
        <v>0</v>
      </c>
      <c r="AP41" s="675">
        <f t="shared" si="1"/>
        <v>0</v>
      </c>
      <c r="AQ41" s="675">
        <f t="shared" si="1"/>
        <v>0</v>
      </c>
      <c r="AR41" s="675">
        <f t="shared" si="1"/>
        <v>0</v>
      </c>
      <c r="AS41" s="675">
        <f t="shared" si="1"/>
        <v>0</v>
      </c>
      <c r="AT41" s="675">
        <f t="shared" si="1"/>
        <v>0</v>
      </c>
      <c r="AU41" s="675">
        <f t="shared" si="1"/>
        <v>0</v>
      </c>
      <c r="AV41" s="676">
        <f t="shared" si="1"/>
        <v>0</v>
      </c>
    </row>
    <row r="42" spans="1:48" s="15" customFormat="1" ht="13.5" outlineLevel="1" x14ac:dyDescent="0.25">
      <c r="B42" s="671" t="s">
        <v>1666</v>
      </c>
      <c r="C42" s="674" t="s">
        <v>1667</v>
      </c>
      <c r="D42" s="675">
        <v>72.47</v>
      </c>
      <c r="E42" s="675">
        <v>99.901960784313729</v>
      </c>
      <c r="F42" s="675">
        <v>125.44213763936946</v>
      </c>
      <c r="G42" s="675">
        <v>119.20377532020113</v>
      </c>
      <c r="H42" s="675">
        <v>125.18105522659268</v>
      </c>
      <c r="I42" s="675">
        <v>123.54168246080053</v>
      </c>
      <c r="J42" s="675">
        <v>121.91847077416418</v>
      </c>
      <c r="K42" s="675">
        <v>120.31141668444292</v>
      </c>
      <c r="L42" s="675">
        <v>118.72051063254455</v>
      </c>
      <c r="M42" s="675">
        <v>117.14573722217219</v>
      </c>
      <c r="N42" s="675">
        <v>139.45921097877641</v>
      </c>
      <c r="O42" s="675">
        <v>160.85260781865793</v>
      </c>
      <c r="P42" s="675">
        <v>181.35343038378096</v>
      </c>
      <c r="Q42" s="675">
        <v>200.9884565208144</v>
      </c>
      <c r="R42" s="675">
        <v>219.78375713060393</v>
      </c>
      <c r="S42" s="675">
        <v>236.27868413634914</v>
      </c>
      <c r="T42" s="675">
        <v>252.04225154512514</v>
      </c>
      <c r="U42" s="675">
        <v>267.09679836188593</v>
      </c>
      <c r="V42" s="675">
        <v>281.46406873618059</v>
      </c>
      <c r="W42" s="675">
        <v>295.16522670119417</v>
      </c>
      <c r="X42" s="675">
        <v>297.45332923376151</v>
      </c>
      <c r="Y42" s="675">
        <v>299.53822081476295</v>
      </c>
      <c r="Z42" s="675">
        <v>301.42699080003354</v>
      </c>
      <c r="AA42" s="675">
        <v>303.12652865946325</v>
      </c>
      <c r="AB42" s="675">
        <v>304.64352909003401</v>
      </c>
      <c r="AC42" s="675">
        <v>304.64352909003401</v>
      </c>
      <c r="AD42" s="675">
        <v>304.64352909003401</v>
      </c>
      <c r="AE42" s="675">
        <v>304.64352909003401</v>
      </c>
      <c r="AF42" s="675">
        <v>304.64352909003401</v>
      </c>
      <c r="AG42" s="675">
        <v>304.64352909003401</v>
      </c>
      <c r="AH42" s="675">
        <v>304.64352909003401</v>
      </c>
      <c r="AI42" s="675">
        <v>304.64352909003401</v>
      </c>
      <c r="AJ42" s="675">
        <v>304.64352909003401</v>
      </c>
      <c r="AK42" s="675">
        <v>304.64352909003401</v>
      </c>
      <c r="AL42" s="675">
        <v>304.64352909003401</v>
      </c>
      <c r="AM42" s="675">
        <v>304.64352909003401</v>
      </c>
      <c r="AN42" s="675">
        <v>304.64352909003401</v>
      </c>
      <c r="AO42" s="675">
        <v>304.64352909003401</v>
      </c>
      <c r="AP42" s="675">
        <v>304.64352909003401</v>
      </c>
      <c r="AQ42" s="675">
        <v>304.64352909003401</v>
      </c>
      <c r="AR42" s="675">
        <v>304.64352909003401</v>
      </c>
      <c r="AS42" s="675">
        <v>304.64352909003401</v>
      </c>
      <c r="AT42" s="675">
        <v>304.64352909003401</v>
      </c>
      <c r="AU42" s="675">
        <v>304.64352909003401</v>
      </c>
      <c r="AV42" s="676">
        <v>304.64352909003401</v>
      </c>
    </row>
    <row r="43" spans="1:48" s="15" customFormat="1" ht="13.5" outlineLevel="1" x14ac:dyDescent="0.25">
      <c r="B43" s="689" t="s">
        <v>1628</v>
      </c>
      <c r="C43" s="685"/>
      <c r="D43" s="686"/>
      <c r="E43" s="686"/>
      <c r="F43" s="686"/>
      <c r="G43" s="686"/>
      <c r="H43" s="686"/>
      <c r="I43" s="686"/>
      <c r="J43" s="686"/>
      <c r="K43" s="686"/>
      <c r="L43" s="686"/>
      <c r="M43" s="686"/>
      <c r="N43" s="686"/>
      <c r="O43" s="686"/>
      <c r="P43" s="686"/>
      <c r="Q43" s="686"/>
      <c r="R43" s="686"/>
      <c r="S43" s="686"/>
      <c r="T43" s="686"/>
      <c r="U43" s="686"/>
      <c r="V43" s="686"/>
      <c r="W43" s="686"/>
      <c r="X43" s="686"/>
      <c r="Y43" s="686"/>
      <c r="Z43" s="686"/>
      <c r="AA43" s="686"/>
      <c r="AB43" s="686"/>
      <c r="AC43" s="686"/>
      <c r="AD43" s="686"/>
      <c r="AE43" s="686"/>
      <c r="AF43" s="686"/>
      <c r="AG43" s="686"/>
      <c r="AH43" s="686"/>
      <c r="AI43" s="686"/>
      <c r="AJ43" s="686"/>
      <c r="AK43" s="686"/>
      <c r="AL43" s="686"/>
      <c r="AM43" s="686"/>
      <c r="AN43" s="686"/>
      <c r="AO43" s="686"/>
      <c r="AP43" s="686"/>
      <c r="AQ43" s="686"/>
      <c r="AR43" s="686"/>
      <c r="AS43" s="686"/>
      <c r="AT43" s="686"/>
      <c r="AU43" s="686"/>
      <c r="AV43" s="687"/>
    </row>
    <row r="44" spans="1:48" s="15" customFormat="1" ht="13.5" outlineLevel="1" x14ac:dyDescent="0.25">
      <c r="B44" s="671" t="s">
        <v>1629</v>
      </c>
      <c r="C44" s="679" t="s">
        <v>1573</v>
      </c>
      <c r="D44" s="682">
        <f>D47*SUMPRODUCT($C$17:$C$19,$E$17:$E$19)/1000</f>
        <v>0</v>
      </c>
      <c r="E44" s="682">
        <f t="shared" ref="E44:L44" si="2">E47*SUMPRODUCT($C$17:$C$19,$E$17:$E$19)/1000</f>
        <v>0</v>
      </c>
      <c r="F44" s="682">
        <f t="shared" si="2"/>
        <v>54.420299999999997</v>
      </c>
      <c r="G44" s="682">
        <f t="shared" si="2"/>
        <v>108.84059999999999</v>
      </c>
      <c r="H44" s="682">
        <f t="shared" si="2"/>
        <v>163.26089999999996</v>
      </c>
      <c r="I44" s="682">
        <f t="shared" si="2"/>
        <v>217.68119999999999</v>
      </c>
      <c r="J44" s="682">
        <f t="shared" si="2"/>
        <v>272.10149999999999</v>
      </c>
      <c r="K44" s="682">
        <f t="shared" si="2"/>
        <v>326.52179999999998</v>
      </c>
      <c r="L44" s="682">
        <f t="shared" si="2"/>
        <v>380.94210000000004</v>
      </c>
      <c r="M44" s="682">
        <f t="shared" ref="M44:AV44" si="3">M47*SUMPRODUCT($C$17:$C$19,$E$17:$E$19)/1000</f>
        <v>435.36240000000004</v>
      </c>
      <c r="N44" s="682">
        <f t="shared" si="3"/>
        <v>489.78270000000009</v>
      </c>
      <c r="O44" s="682">
        <f t="shared" si="3"/>
        <v>544.20299999999997</v>
      </c>
      <c r="P44" s="682">
        <f t="shared" si="3"/>
        <v>598.62329999999997</v>
      </c>
      <c r="Q44" s="682">
        <f t="shared" si="3"/>
        <v>598.62329999999997</v>
      </c>
      <c r="R44" s="682">
        <f t="shared" si="3"/>
        <v>598.62329999999997</v>
      </c>
      <c r="S44" s="682">
        <f t="shared" si="3"/>
        <v>598.62329999999997</v>
      </c>
      <c r="T44" s="682">
        <f t="shared" si="3"/>
        <v>598.62329999999997</v>
      </c>
      <c r="U44" s="682">
        <f t="shared" si="3"/>
        <v>598.62329999999997</v>
      </c>
      <c r="V44" s="682">
        <f t="shared" si="3"/>
        <v>598.62329999999997</v>
      </c>
      <c r="W44" s="682">
        <f t="shared" si="3"/>
        <v>598.62329999999997</v>
      </c>
      <c r="X44" s="682">
        <f t="shared" si="3"/>
        <v>598.62329999999997</v>
      </c>
      <c r="Y44" s="682">
        <f t="shared" si="3"/>
        <v>598.62329999999997</v>
      </c>
      <c r="Z44" s="682">
        <f t="shared" si="3"/>
        <v>598.62329999999997</v>
      </c>
      <c r="AA44" s="682">
        <f t="shared" si="3"/>
        <v>598.62329999999997</v>
      </c>
      <c r="AB44" s="682">
        <f t="shared" si="3"/>
        <v>598.62329999999997</v>
      </c>
      <c r="AC44" s="682">
        <f t="shared" si="3"/>
        <v>598.62329999999997</v>
      </c>
      <c r="AD44" s="682">
        <f t="shared" si="3"/>
        <v>598.62329999999997</v>
      </c>
      <c r="AE44" s="682">
        <f t="shared" si="3"/>
        <v>598.62329999999997</v>
      </c>
      <c r="AF44" s="682">
        <f t="shared" si="3"/>
        <v>598.62329999999997</v>
      </c>
      <c r="AG44" s="682">
        <f t="shared" si="3"/>
        <v>598.62329999999997</v>
      </c>
      <c r="AH44" s="682">
        <f t="shared" si="3"/>
        <v>598.62329999999997</v>
      </c>
      <c r="AI44" s="682">
        <f t="shared" si="3"/>
        <v>598.62329999999997</v>
      </c>
      <c r="AJ44" s="682">
        <f t="shared" si="3"/>
        <v>598.62329999999997</v>
      </c>
      <c r="AK44" s="682">
        <f t="shared" si="3"/>
        <v>598.62329999999997</v>
      </c>
      <c r="AL44" s="682">
        <f t="shared" si="3"/>
        <v>598.62329999999997</v>
      </c>
      <c r="AM44" s="682">
        <f t="shared" si="3"/>
        <v>598.62329999999997</v>
      </c>
      <c r="AN44" s="682">
        <f t="shared" si="3"/>
        <v>598.62329999999997</v>
      </c>
      <c r="AO44" s="682">
        <f t="shared" si="3"/>
        <v>598.62329999999997</v>
      </c>
      <c r="AP44" s="682">
        <f t="shared" si="3"/>
        <v>598.62329999999997</v>
      </c>
      <c r="AQ44" s="682">
        <f t="shared" si="3"/>
        <v>598.62329999999997</v>
      </c>
      <c r="AR44" s="682">
        <f t="shared" si="3"/>
        <v>598.62329999999997</v>
      </c>
      <c r="AS44" s="682">
        <f t="shared" si="3"/>
        <v>598.62329999999997</v>
      </c>
      <c r="AT44" s="682">
        <f t="shared" si="3"/>
        <v>598.62329999999997</v>
      </c>
      <c r="AU44" s="682">
        <f t="shared" si="3"/>
        <v>598.62329999999997</v>
      </c>
      <c r="AV44" s="428">
        <f t="shared" si="3"/>
        <v>598.62329999999997</v>
      </c>
    </row>
    <row r="45" spans="1:48" s="15" customFormat="1" ht="13.5" outlineLevel="1" x14ac:dyDescent="0.25">
      <c r="B45" s="671" t="s">
        <v>1668</v>
      </c>
      <c r="C45" s="679" t="s">
        <v>1573</v>
      </c>
      <c r="D45" s="682">
        <f>-D47*D42/1000</f>
        <v>0</v>
      </c>
      <c r="E45" s="682">
        <f t="shared" ref="E45:AV45" si="4">-E47*E42/1000</f>
        <v>0</v>
      </c>
      <c r="F45" s="682">
        <f t="shared" si="4"/>
        <v>-103.43331459054208</v>
      </c>
      <c r="G45" s="682">
        <f t="shared" si="4"/>
        <v>-196.57894588054367</v>
      </c>
      <c r="H45" s="682">
        <f t="shared" si="4"/>
        <v>-309.65411726126092</v>
      </c>
      <c r="I45" s="682">
        <f t="shared" si="4"/>
        <v>-407.46517709221229</v>
      </c>
      <c r="J45" s="682">
        <f t="shared" si="4"/>
        <v>-502.63937538418537</v>
      </c>
      <c r="K45" s="682">
        <f t="shared" si="4"/>
        <v>-595.21667176294443</v>
      </c>
      <c r="L45" s="682">
        <f t="shared" si="4"/>
        <v>-685.23697929445223</v>
      </c>
      <c r="M45" s="682">
        <f t="shared" si="4"/>
        <v>-772.74014101233672</v>
      </c>
      <c r="N45" s="682">
        <f t="shared" si="4"/>
        <v>-1034.919831712951</v>
      </c>
      <c r="O45" s="682">
        <f t="shared" si="4"/>
        <v>-1326.3101777687441</v>
      </c>
      <c r="P45" s="682">
        <f t="shared" si="4"/>
        <v>-1644.8846812524123</v>
      </c>
      <c r="Q45" s="682">
        <f t="shared" si="4"/>
        <v>-1822.9753500666125</v>
      </c>
      <c r="R45" s="682">
        <f t="shared" si="4"/>
        <v>-1993.4496663624338</v>
      </c>
      <c r="S45" s="682">
        <f t="shared" si="4"/>
        <v>-2143.0594790508935</v>
      </c>
      <c r="T45" s="682">
        <f t="shared" si="4"/>
        <v>-2286.0358236268621</v>
      </c>
      <c r="U45" s="682">
        <f t="shared" si="4"/>
        <v>-2422.5813159822237</v>
      </c>
      <c r="V45" s="682">
        <f t="shared" si="4"/>
        <v>-2552.8931766405944</v>
      </c>
      <c r="W45" s="682">
        <f t="shared" si="4"/>
        <v>-2677.1633644411663</v>
      </c>
      <c r="X45" s="682">
        <f t="shared" si="4"/>
        <v>-2697.9165688166781</v>
      </c>
      <c r="Y45" s="682">
        <f t="shared" si="4"/>
        <v>-2716.8266397009402</v>
      </c>
      <c r="Z45" s="682">
        <f t="shared" si="4"/>
        <v>-2733.9578779058438</v>
      </c>
      <c r="AA45" s="682">
        <f t="shared" si="4"/>
        <v>-2749.3727712677642</v>
      </c>
      <c r="AB45" s="682">
        <f t="shared" si="4"/>
        <v>-2763.1320410230624</v>
      </c>
      <c r="AC45" s="682">
        <f t="shared" si="4"/>
        <v>-2763.1320410230624</v>
      </c>
      <c r="AD45" s="682">
        <f t="shared" si="4"/>
        <v>-2763.1320410230624</v>
      </c>
      <c r="AE45" s="682">
        <f t="shared" si="4"/>
        <v>-2763.1320410230624</v>
      </c>
      <c r="AF45" s="682">
        <f t="shared" si="4"/>
        <v>-2763.1320410230624</v>
      </c>
      <c r="AG45" s="682">
        <f t="shared" si="4"/>
        <v>-2763.1320410230624</v>
      </c>
      <c r="AH45" s="682">
        <f t="shared" si="4"/>
        <v>-2763.1320410230624</v>
      </c>
      <c r="AI45" s="682">
        <f t="shared" si="4"/>
        <v>-2763.1320410230624</v>
      </c>
      <c r="AJ45" s="682">
        <f t="shared" si="4"/>
        <v>-2763.1320410230624</v>
      </c>
      <c r="AK45" s="682">
        <f t="shared" si="4"/>
        <v>-2763.1320410230624</v>
      </c>
      <c r="AL45" s="682">
        <f t="shared" si="4"/>
        <v>-2763.1320410230624</v>
      </c>
      <c r="AM45" s="682">
        <f t="shared" si="4"/>
        <v>-2763.1320410230624</v>
      </c>
      <c r="AN45" s="682">
        <f t="shared" si="4"/>
        <v>-2763.1320410230624</v>
      </c>
      <c r="AO45" s="682">
        <f t="shared" si="4"/>
        <v>-2763.1320410230624</v>
      </c>
      <c r="AP45" s="682">
        <f t="shared" si="4"/>
        <v>-2763.1320410230624</v>
      </c>
      <c r="AQ45" s="682">
        <f t="shared" si="4"/>
        <v>-2763.1320410230624</v>
      </c>
      <c r="AR45" s="682">
        <f t="shared" si="4"/>
        <v>-2763.1320410230624</v>
      </c>
      <c r="AS45" s="682">
        <f t="shared" si="4"/>
        <v>-2763.1320410230624</v>
      </c>
      <c r="AT45" s="682">
        <f t="shared" si="4"/>
        <v>-2763.1320410230624</v>
      </c>
      <c r="AU45" s="682">
        <f t="shared" si="4"/>
        <v>-2763.1320410230624</v>
      </c>
      <c r="AV45" s="428">
        <f t="shared" si="4"/>
        <v>-2763.1320410230624</v>
      </c>
    </row>
    <row r="46" spans="1:48" s="15" customFormat="1" ht="13.5" outlineLevel="1" x14ac:dyDescent="0.25">
      <c r="B46" s="689" t="s">
        <v>1114</v>
      </c>
      <c r="C46" s="693" t="s">
        <v>1573</v>
      </c>
      <c r="D46" s="710">
        <f>D45+D44</f>
        <v>0</v>
      </c>
      <c r="E46" s="710">
        <f t="shared" ref="E46:L46" si="5">E45+E44</f>
        <v>0</v>
      </c>
      <c r="F46" s="710">
        <f t="shared" si="5"/>
        <v>-49.013014590542085</v>
      </c>
      <c r="G46" s="710">
        <f t="shared" si="5"/>
        <v>-87.738345880543676</v>
      </c>
      <c r="H46" s="710">
        <f t="shared" si="5"/>
        <v>-146.39321726126096</v>
      </c>
      <c r="I46" s="710">
        <f t="shared" si="5"/>
        <v>-189.7839770922123</v>
      </c>
      <c r="J46" s="710">
        <f t="shared" si="5"/>
        <v>-230.53787538418538</v>
      </c>
      <c r="K46" s="710">
        <f t="shared" si="5"/>
        <v>-268.69487176294444</v>
      </c>
      <c r="L46" s="710">
        <f t="shared" si="5"/>
        <v>-304.29487929445219</v>
      </c>
      <c r="M46" s="710">
        <f t="shared" ref="M46" si="6">M45+M44</f>
        <v>-337.37774101233668</v>
      </c>
      <c r="N46" s="710">
        <f t="shared" ref="N46" si="7">N45+N44</f>
        <v>-545.13713171295092</v>
      </c>
      <c r="O46" s="710">
        <f t="shared" ref="O46" si="8">O45+O44</f>
        <v>-782.10717776874412</v>
      </c>
      <c r="P46" s="710">
        <f t="shared" ref="P46" si="9">P45+P44</f>
        <v>-1046.2613812524123</v>
      </c>
      <c r="Q46" s="710">
        <f t="shared" ref="Q46" si="10">Q45+Q44</f>
        <v>-1224.3520500666125</v>
      </c>
      <c r="R46" s="710">
        <f t="shared" ref="R46" si="11">R45+R44</f>
        <v>-1394.8263663624339</v>
      </c>
      <c r="S46" s="710">
        <f t="shared" ref="S46" si="12">S45+S44</f>
        <v>-1544.4361790508935</v>
      </c>
      <c r="T46" s="710">
        <f t="shared" ref="T46" si="13">T45+T44</f>
        <v>-1687.4125236268621</v>
      </c>
      <c r="U46" s="710">
        <f t="shared" ref="U46" si="14">U45+U44</f>
        <v>-1823.9580159822237</v>
      </c>
      <c r="V46" s="710">
        <f t="shared" ref="V46" si="15">V45+V44</f>
        <v>-1954.2698766405945</v>
      </c>
      <c r="W46" s="710">
        <f t="shared" ref="W46" si="16">W45+W44</f>
        <v>-2078.5400644411666</v>
      </c>
      <c r="X46" s="710">
        <f t="shared" ref="X46" si="17">X45+X44</f>
        <v>-2099.2932688166784</v>
      </c>
      <c r="Y46" s="710">
        <f t="shared" ref="Y46" si="18">Y45+Y44</f>
        <v>-2118.20333970094</v>
      </c>
      <c r="Z46" s="710">
        <f t="shared" ref="Z46" si="19">Z45+Z44</f>
        <v>-2135.3345779058436</v>
      </c>
      <c r="AA46" s="710">
        <f t="shared" ref="AA46" si="20">AA45+AA44</f>
        <v>-2150.7494712677644</v>
      </c>
      <c r="AB46" s="710">
        <f t="shared" ref="AB46" si="21">AB45+AB44</f>
        <v>-2164.5087410230626</v>
      </c>
      <c r="AC46" s="710">
        <f t="shared" ref="AC46" si="22">AC45+AC44</f>
        <v>-2164.5087410230626</v>
      </c>
      <c r="AD46" s="710">
        <f t="shared" ref="AD46" si="23">AD45+AD44</f>
        <v>-2164.5087410230626</v>
      </c>
      <c r="AE46" s="710">
        <f t="shared" ref="AE46" si="24">AE45+AE44</f>
        <v>-2164.5087410230626</v>
      </c>
      <c r="AF46" s="710">
        <f t="shared" ref="AF46" si="25">AF45+AF44</f>
        <v>-2164.5087410230626</v>
      </c>
      <c r="AG46" s="710">
        <f t="shared" ref="AG46" si="26">AG45+AG44</f>
        <v>-2164.5087410230626</v>
      </c>
      <c r="AH46" s="710">
        <f t="shared" ref="AH46" si="27">AH45+AH44</f>
        <v>-2164.5087410230626</v>
      </c>
      <c r="AI46" s="710">
        <f t="shared" ref="AI46" si="28">AI45+AI44</f>
        <v>-2164.5087410230626</v>
      </c>
      <c r="AJ46" s="710">
        <f t="shared" ref="AJ46" si="29">AJ45+AJ44</f>
        <v>-2164.5087410230626</v>
      </c>
      <c r="AK46" s="710">
        <f t="shared" ref="AK46" si="30">AK45+AK44</f>
        <v>-2164.5087410230626</v>
      </c>
      <c r="AL46" s="710">
        <f t="shared" ref="AL46" si="31">AL45+AL44</f>
        <v>-2164.5087410230626</v>
      </c>
      <c r="AM46" s="710">
        <f t="shared" ref="AM46" si="32">AM45+AM44</f>
        <v>-2164.5087410230626</v>
      </c>
      <c r="AN46" s="710">
        <f t="shared" ref="AN46" si="33">AN45+AN44</f>
        <v>-2164.5087410230626</v>
      </c>
      <c r="AO46" s="710">
        <f t="shared" ref="AO46" si="34">AO45+AO44</f>
        <v>-2164.5087410230626</v>
      </c>
      <c r="AP46" s="710">
        <f t="shared" ref="AP46" si="35">AP45+AP44</f>
        <v>-2164.5087410230626</v>
      </c>
      <c r="AQ46" s="710">
        <f t="shared" ref="AQ46" si="36">AQ45+AQ44</f>
        <v>-2164.5087410230626</v>
      </c>
      <c r="AR46" s="710">
        <f t="shared" ref="AR46" si="37">AR45+AR44</f>
        <v>-2164.5087410230626</v>
      </c>
      <c r="AS46" s="710">
        <f t="shared" ref="AS46" si="38">AS45+AS44</f>
        <v>-2164.5087410230626</v>
      </c>
      <c r="AT46" s="710">
        <f t="shared" ref="AT46" si="39">AT45+AT44</f>
        <v>-2164.5087410230626</v>
      </c>
      <c r="AU46" s="710">
        <f t="shared" ref="AU46" si="40">AU45+AU44</f>
        <v>-2164.5087410230626</v>
      </c>
      <c r="AV46" s="426">
        <f t="shared" ref="AV46" si="41">AV45+AV44</f>
        <v>-2164.5087410230626</v>
      </c>
    </row>
    <row r="47" spans="1:48" s="39" customFormat="1" ht="13.5" outlineLevel="1" x14ac:dyDescent="0.25">
      <c r="B47" s="689" t="s">
        <v>1633</v>
      </c>
      <c r="C47" s="693" t="s">
        <v>853</v>
      </c>
      <c r="D47" s="710">
        <f>D41*$C$14</f>
        <v>0</v>
      </c>
      <c r="E47" s="710">
        <f t="shared" ref="E47:AV47" si="42">E41*$C$14+D47</f>
        <v>0</v>
      </c>
      <c r="F47" s="710">
        <f t="shared" si="42"/>
        <v>824.55</v>
      </c>
      <c r="G47" s="710">
        <f t="shared" si="42"/>
        <v>1649.1</v>
      </c>
      <c r="H47" s="710">
        <f t="shared" si="42"/>
        <v>2473.6499999999996</v>
      </c>
      <c r="I47" s="710">
        <f t="shared" si="42"/>
        <v>3298.2</v>
      </c>
      <c r="J47" s="710">
        <f t="shared" si="42"/>
        <v>4122.75</v>
      </c>
      <c r="K47" s="710">
        <f t="shared" si="42"/>
        <v>4947.3</v>
      </c>
      <c r="L47" s="710">
        <f t="shared" si="42"/>
        <v>5771.85</v>
      </c>
      <c r="M47" s="710">
        <f t="shared" si="42"/>
        <v>6596.4000000000005</v>
      </c>
      <c r="N47" s="710">
        <f t="shared" si="42"/>
        <v>7420.9500000000007</v>
      </c>
      <c r="O47" s="710">
        <f t="shared" si="42"/>
        <v>8245.5</v>
      </c>
      <c r="P47" s="710">
        <f t="shared" si="42"/>
        <v>9070.0499999999993</v>
      </c>
      <c r="Q47" s="710">
        <f t="shared" si="42"/>
        <v>9070.0499999999993</v>
      </c>
      <c r="R47" s="710">
        <f t="shared" si="42"/>
        <v>9070.0499999999993</v>
      </c>
      <c r="S47" s="710">
        <f t="shared" si="42"/>
        <v>9070.0499999999993</v>
      </c>
      <c r="T47" s="710">
        <f t="shared" si="42"/>
        <v>9070.0499999999993</v>
      </c>
      <c r="U47" s="710">
        <f t="shared" si="42"/>
        <v>9070.0499999999993</v>
      </c>
      <c r="V47" s="710">
        <f t="shared" si="42"/>
        <v>9070.0499999999993</v>
      </c>
      <c r="W47" s="710">
        <f t="shared" si="42"/>
        <v>9070.0499999999993</v>
      </c>
      <c r="X47" s="710">
        <f t="shared" si="42"/>
        <v>9070.0499999999993</v>
      </c>
      <c r="Y47" s="710">
        <f t="shared" si="42"/>
        <v>9070.0499999999993</v>
      </c>
      <c r="Z47" s="710">
        <f t="shared" si="42"/>
        <v>9070.0499999999993</v>
      </c>
      <c r="AA47" s="710">
        <f t="shared" si="42"/>
        <v>9070.0499999999993</v>
      </c>
      <c r="AB47" s="710">
        <f t="shared" si="42"/>
        <v>9070.0499999999993</v>
      </c>
      <c r="AC47" s="710">
        <f t="shared" si="42"/>
        <v>9070.0499999999993</v>
      </c>
      <c r="AD47" s="710">
        <f t="shared" si="42"/>
        <v>9070.0499999999993</v>
      </c>
      <c r="AE47" s="710">
        <f t="shared" si="42"/>
        <v>9070.0499999999993</v>
      </c>
      <c r="AF47" s="710">
        <f t="shared" si="42"/>
        <v>9070.0499999999993</v>
      </c>
      <c r="AG47" s="710">
        <f t="shared" si="42"/>
        <v>9070.0499999999993</v>
      </c>
      <c r="AH47" s="710">
        <f t="shared" si="42"/>
        <v>9070.0499999999993</v>
      </c>
      <c r="AI47" s="710">
        <f t="shared" si="42"/>
        <v>9070.0499999999993</v>
      </c>
      <c r="AJ47" s="710">
        <f t="shared" si="42"/>
        <v>9070.0499999999993</v>
      </c>
      <c r="AK47" s="710">
        <f t="shared" si="42"/>
        <v>9070.0499999999993</v>
      </c>
      <c r="AL47" s="710">
        <f t="shared" si="42"/>
        <v>9070.0499999999993</v>
      </c>
      <c r="AM47" s="710">
        <f t="shared" si="42"/>
        <v>9070.0499999999993</v>
      </c>
      <c r="AN47" s="710">
        <f t="shared" si="42"/>
        <v>9070.0499999999993</v>
      </c>
      <c r="AO47" s="710">
        <f t="shared" si="42"/>
        <v>9070.0499999999993</v>
      </c>
      <c r="AP47" s="710">
        <f t="shared" si="42"/>
        <v>9070.0499999999993</v>
      </c>
      <c r="AQ47" s="710">
        <f t="shared" si="42"/>
        <v>9070.0499999999993</v>
      </c>
      <c r="AR47" s="710">
        <f t="shared" si="42"/>
        <v>9070.0499999999993</v>
      </c>
      <c r="AS47" s="710">
        <f t="shared" si="42"/>
        <v>9070.0499999999993</v>
      </c>
      <c r="AT47" s="710">
        <f t="shared" si="42"/>
        <v>9070.0499999999993</v>
      </c>
      <c r="AU47" s="710">
        <f t="shared" si="42"/>
        <v>9070.0499999999993</v>
      </c>
      <c r="AV47" s="426">
        <f t="shared" si="42"/>
        <v>9070.0499999999993</v>
      </c>
    </row>
    <row r="48" spans="1:48" s="1" customFormat="1" x14ac:dyDescent="0.25">
      <c r="C48" s="9"/>
    </row>
    <row r="49" spans="3:4" s="1" customFormat="1" x14ac:dyDescent="0.25">
      <c r="C49" s="9"/>
    </row>
    <row r="50" spans="3:4" x14ac:dyDescent="0.25">
      <c r="C50" s="125"/>
    </row>
    <row r="51" spans="3:4" x14ac:dyDescent="0.25">
      <c r="C51" s="294"/>
      <c r="D51" s="127"/>
    </row>
    <row r="52" spans="3:4" x14ac:dyDescent="0.25">
      <c r="C52" s="294"/>
      <c r="D52" s="128"/>
    </row>
    <row r="53" spans="3:4" x14ac:dyDescent="0.25">
      <c r="C53" s="294"/>
      <c r="D53" s="128"/>
    </row>
    <row r="54" spans="3:4" x14ac:dyDescent="0.25">
      <c r="C54" s="129"/>
      <c r="D54" s="128"/>
    </row>
    <row r="55" spans="3:4" x14ac:dyDescent="0.25">
      <c r="D55" s="128"/>
    </row>
    <row r="56" spans="3:4" x14ac:dyDescent="0.25">
      <c r="D56" s="128"/>
    </row>
    <row r="57" spans="3:4" x14ac:dyDescent="0.25">
      <c r="D57" s="127"/>
    </row>
    <row r="58" spans="3:4" x14ac:dyDescent="0.25">
      <c r="D58" s="127"/>
    </row>
    <row r="59" spans="3:4" x14ac:dyDescent="0.25">
      <c r="D59" s="127"/>
    </row>
    <row r="60" spans="3:4" x14ac:dyDescent="0.25">
      <c r="D60" s="127"/>
    </row>
  </sheetData>
  <sheetProtection algorithmName="SHA-512" hashValue="mlf1nkl/HkQoKahF4s1fprM55JSoM4LEG+X9HhDdocWcIrrAj8GEvmYazO6aaRctPE1H34dPRx6Kv60Y462Mww==" saltValue="ql2ll24NdOaBwCqHWgI43w==" spinCount="100000" sheet="1" objects="1" scenarios="1" selectLockedCells="1"/>
  <mergeCells count="2">
    <mergeCell ref="B3:F3"/>
    <mergeCell ref="G3:L3"/>
  </mergeCells>
  <phoneticPr fontId="16" type="noConversion"/>
  <conditionalFormatting sqref="C34:C36">
    <cfRule type="containsText" dxfId="2" priority="1" operator="containsText" text="Kõrge">
      <formula>NOT(ISERROR(SEARCH("Kõrge",C34)))</formula>
    </cfRule>
    <cfRule type="containsText" dxfId="1" priority="2" operator="containsText" text="Mõõdukas">
      <formula>NOT(ISERROR(SEARCH("Mõõdukas",C34)))</formula>
    </cfRule>
    <cfRule type="containsText" dxfId="0" priority="3" operator="containsText" text="Madal">
      <formula>NOT(ISERROR(SEARCH("Madal",C34)))</formula>
    </cfRule>
  </conditionalFormatting>
  <dataValidations count="3">
    <dataValidation type="list" allowBlank="1" showInputMessage="1" showErrorMessage="1" sqref="C36" xr:uid="{9896249A-5892-43DD-A30D-018EC0A0A33C}">
      <formula1>I34:I36</formula1>
    </dataValidation>
    <dataValidation type="list" allowBlank="1" showInputMessage="1" showErrorMessage="1" sqref="C35" xr:uid="{8DD6A6DD-9961-433D-B989-513AFCC16388}">
      <formula1>I34:I36</formula1>
    </dataValidation>
    <dataValidation type="list" allowBlank="1" showInputMessage="1" showErrorMessage="1" sqref="C34" xr:uid="{9F7DB099-8188-45AE-816A-760493AA62DF}">
      <formula1>I34:I36</formula1>
    </dataValidation>
  </dataValidations>
  <hyperlinks>
    <hyperlink ref="B1" location="MEETMED!A1" display="&lt;-MEETMETE NIMEKIRI" xr:uid="{48270586-5210-4313-BCC5-82A27E333705}"/>
  </hyperlinks>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E3A05-A3B8-4C38-92DD-0A3436E5FEA5}">
  <sheetPr>
    <tabColor theme="9" tint="0.79998168889431442"/>
  </sheetPr>
  <dimension ref="A1:AU88"/>
  <sheetViews>
    <sheetView showGridLines="0" zoomScale="85" zoomScaleNormal="85" workbookViewId="0">
      <selection activeCell="D14" sqref="D14"/>
    </sheetView>
  </sheetViews>
  <sheetFormatPr defaultColWidth="8.85546875" defaultRowHeight="15" outlineLevelRow="1" x14ac:dyDescent="0.25"/>
  <cols>
    <col min="1" max="1" width="3.7109375" customWidth="1"/>
    <col min="2" max="2" width="42.5703125" customWidth="1"/>
    <col min="3" max="3" width="14.42578125" customWidth="1"/>
    <col min="4" max="4" width="14.285156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25.5" customHeight="1" x14ac:dyDescent="0.25">
      <c r="A3" s="260" t="s">
        <v>7</v>
      </c>
      <c r="B3" s="988" t="str">
        <f>"MEEDE: "&amp;VLOOKUP(A3,MEETMED!B:G,2,FALSE)</f>
        <v>MEEDE: Munitsipaalhoonete energiatõhususe ja kliimakindluse suurendamine</v>
      </c>
      <c r="C3" s="988"/>
      <c r="D3" s="988"/>
      <c r="E3" s="988"/>
      <c r="F3" s="988"/>
      <c r="G3" s="990" t="str">
        <f>"TEGEVUS: "&amp;VLOOKUP(A3,MEETMED!B:G,3,FALSE)</f>
        <v>TEGEVUS: Renoveerimine C-klassi</v>
      </c>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861</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33"/>
    </row>
    <row r="7" spans="1:27" s="1" customFormat="1" outlineLevel="1" x14ac:dyDescent="0.25">
      <c r="B7" s="155" t="s">
        <v>862</v>
      </c>
      <c r="C7" s="901">
        <v>2026</v>
      </c>
      <c r="D7" s="155" t="s">
        <v>863</v>
      </c>
      <c r="E7" s="155"/>
      <c r="F7" s="155"/>
      <c r="G7" s="155"/>
      <c r="H7" s="155"/>
      <c r="I7" s="155"/>
      <c r="J7" s="155"/>
      <c r="K7" s="155"/>
      <c r="L7" s="155"/>
    </row>
    <row r="8" spans="1:27" s="1" customFormat="1" outlineLevel="1" x14ac:dyDescent="0.25">
      <c r="B8" s="155" t="s">
        <v>864</v>
      </c>
      <c r="C8" s="901">
        <v>2050</v>
      </c>
      <c r="D8" s="155" t="s">
        <v>863</v>
      </c>
      <c r="E8" s="155"/>
      <c r="F8" s="155"/>
      <c r="G8" s="155"/>
      <c r="H8" s="155"/>
      <c r="I8" s="155"/>
      <c r="J8" s="155"/>
      <c r="K8" s="155"/>
      <c r="L8" s="155"/>
    </row>
    <row r="9" spans="1:27" s="1" customFormat="1" outlineLevel="1" x14ac:dyDescent="0.25">
      <c r="B9" s="155" t="s">
        <v>865</v>
      </c>
      <c r="C9" s="229">
        <f>C8-C7+1</f>
        <v>25</v>
      </c>
      <c r="D9" s="155" t="s">
        <v>863</v>
      </c>
      <c r="E9" s="155"/>
      <c r="F9" s="155"/>
      <c r="G9" s="155"/>
      <c r="H9" s="155"/>
      <c r="I9" s="155"/>
      <c r="J9" s="155"/>
      <c r="K9" s="155"/>
      <c r="L9" s="155"/>
    </row>
    <row r="10" spans="1:27" s="1" customFormat="1" outlineLevel="1" x14ac:dyDescent="0.25">
      <c r="B10" s="219"/>
      <c r="C10"/>
      <c r="D10" s="155"/>
      <c r="E10" s="155"/>
      <c r="H10" s="338"/>
      <c r="J10" s="864" t="s">
        <v>866</v>
      </c>
      <c r="K10" s="511"/>
      <c r="L10" s="511"/>
      <c r="M10" s="511"/>
    </row>
    <row r="11" spans="1:27" s="1" customFormat="1" outlineLevel="1" x14ac:dyDescent="0.25">
      <c r="B11" s="870"/>
      <c r="C11" s="871"/>
      <c r="D11" s="872"/>
      <c r="E11" s="865" t="s">
        <v>867</v>
      </c>
      <c r="F11" s="865" t="s">
        <v>868</v>
      </c>
      <c r="G11" s="865" t="s">
        <v>868</v>
      </c>
      <c r="H11" s="866" t="s">
        <v>869</v>
      </c>
      <c r="J11" s="989" t="s">
        <v>870</v>
      </c>
      <c r="K11" s="989"/>
      <c r="L11" s="989" t="s">
        <v>871</v>
      </c>
      <c r="M11" s="989"/>
    </row>
    <row r="12" spans="1:27" s="1" customFormat="1" ht="18.600000000000001" customHeight="1" outlineLevel="1" x14ac:dyDescent="0.25">
      <c r="B12" s="442" t="s">
        <v>872</v>
      </c>
      <c r="C12" s="865" t="s">
        <v>571</v>
      </c>
      <c r="D12" s="865" t="s">
        <v>532</v>
      </c>
      <c r="E12" s="865" t="s">
        <v>873</v>
      </c>
      <c r="F12" s="865" t="s">
        <v>874</v>
      </c>
      <c r="G12" s="865" t="s">
        <v>875</v>
      </c>
      <c r="H12" s="866" t="s">
        <v>521</v>
      </c>
      <c r="J12" s="873" t="s">
        <v>529</v>
      </c>
      <c r="K12" s="874" t="s">
        <v>483</v>
      </c>
      <c r="L12" s="874" t="s">
        <v>529</v>
      </c>
      <c r="M12" s="875" t="s">
        <v>483</v>
      </c>
      <c r="O12" s="277" t="s">
        <v>876</v>
      </c>
    </row>
    <row r="13" spans="1:27" s="1" customFormat="1" outlineLevel="1" x14ac:dyDescent="0.25">
      <c r="B13" s="671" t="s">
        <v>576</v>
      </c>
      <c r="C13" s="895">
        <v>81</v>
      </c>
      <c r="D13" s="895">
        <v>115887.14000000001</v>
      </c>
      <c r="E13" s="897">
        <v>0.16</v>
      </c>
      <c r="F13" s="798">
        <f>1-E13</f>
        <v>0.84</v>
      </c>
      <c r="G13" s="734">
        <f t="shared" ref="G13:G18" si="0">(1-E13)*D13</f>
        <v>97345.197600000014</v>
      </c>
      <c r="H13" s="867">
        <f>SISENDID!E31/(SISENDID!E31+SISENDID!D31)</f>
        <v>0.87301587301587313</v>
      </c>
      <c r="J13" s="894">
        <f>SISENDID!P148</f>
        <v>130</v>
      </c>
      <c r="K13" s="895">
        <f>SISENDID!Q148</f>
        <v>70</v>
      </c>
      <c r="L13" s="895">
        <f>SISENDID!R148</f>
        <v>70</v>
      </c>
      <c r="M13" s="896">
        <f>SISENDID!S148</f>
        <v>45</v>
      </c>
      <c r="N13" s="362"/>
      <c r="O13" s="893" t="s">
        <v>1670</v>
      </c>
      <c r="P13" s="305" t="s">
        <v>877</v>
      </c>
    </row>
    <row r="14" spans="1:27" s="1" customFormat="1" outlineLevel="1" x14ac:dyDescent="0.25">
      <c r="B14" s="671" t="s">
        <v>577</v>
      </c>
      <c r="C14" s="895">
        <v>152</v>
      </c>
      <c r="D14" s="895">
        <v>125359.09999999996</v>
      </c>
      <c r="E14" s="897">
        <v>0.09</v>
      </c>
      <c r="F14" s="798">
        <f t="shared" ref="F14:F19" si="1">1-E14</f>
        <v>0.91</v>
      </c>
      <c r="G14" s="734">
        <f t="shared" si="0"/>
        <v>114076.78099999997</v>
      </c>
      <c r="H14" s="867">
        <f>H13</f>
        <v>0.87301587301587313</v>
      </c>
      <c r="J14" s="894">
        <f>SISENDID!P149</f>
        <v>170</v>
      </c>
      <c r="K14" s="895">
        <f>SISENDID!Q149</f>
        <v>35</v>
      </c>
      <c r="L14" s="895">
        <f>SISENDID!R149</f>
        <v>70</v>
      </c>
      <c r="M14" s="896">
        <f>SISENDID!S149</f>
        <v>38</v>
      </c>
      <c r="O14" s="892" t="s">
        <v>878</v>
      </c>
      <c r="P14" s="305" t="s">
        <v>1669</v>
      </c>
    </row>
    <row r="15" spans="1:27" s="1" customFormat="1" outlineLevel="1" x14ac:dyDescent="0.25">
      <c r="B15" s="671" t="s">
        <v>578</v>
      </c>
      <c r="C15" s="895">
        <v>174</v>
      </c>
      <c r="D15" s="895">
        <v>251753.2000000001</v>
      </c>
      <c r="E15" s="897">
        <v>0.28000000000000003</v>
      </c>
      <c r="F15" s="798">
        <f t="shared" si="1"/>
        <v>0.72</v>
      </c>
      <c r="G15" s="734">
        <f t="shared" si="0"/>
        <v>181262.30400000006</v>
      </c>
      <c r="H15" s="867">
        <f t="shared" ref="H15:H18" si="2">H14</f>
        <v>0.87301587301587313</v>
      </c>
      <c r="J15" s="894">
        <f>SISENDID!P150</f>
        <v>80</v>
      </c>
      <c r="K15" s="895">
        <f>SISENDID!Q150</f>
        <v>140</v>
      </c>
      <c r="L15" s="895">
        <f>SISENDID!R150</f>
        <v>55</v>
      </c>
      <c r="M15" s="896">
        <f>SISENDID!S150</f>
        <v>85</v>
      </c>
      <c r="O15" s="892" t="s">
        <v>1671</v>
      </c>
      <c r="P15" s="228">
        <v>1234</v>
      </c>
    </row>
    <row r="16" spans="1:27" s="1" customFormat="1" outlineLevel="1" x14ac:dyDescent="0.25">
      <c r="B16" s="671" t="s">
        <v>579</v>
      </c>
      <c r="C16" s="895">
        <v>231</v>
      </c>
      <c r="D16" s="895">
        <v>592692.89999999991</v>
      </c>
      <c r="E16" s="897">
        <v>0.46</v>
      </c>
      <c r="F16" s="798">
        <f t="shared" si="1"/>
        <v>0.54</v>
      </c>
      <c r="G16" s="734">
        <f t="shared" si="0"/>
        <v>320054.16599999997</v>
      </c>
      <c r="H16" s="867">
        <f t="shared" si="2"/>
        <v>0.87301587301587313</v>
      </c>
      <c r="J16" s="894">
        <f>SISENDID!P151</f>
        <v>140</v>
      </c>
      <c r="K16" s="895">
        <f>SISENDID!Q151</f>
        <v>30</v>
      </c>
      <c r="L16" s="895">
        <f>SISENDID!R151</f>
        <v>55</v>
      </c>
      <c r="M16" s="896">
        <f>SISENDID!S151</f>
        <v>40</v>
      </c>
    </row>
    <row r="17" spans="1:34" s="1" customFormat="1" outlineLevel="1" x14ac:dyDescent="0.25">
      <c r="B17" s="671" t="s">
        <v>580</v>
      </c>
      <c r="C17" s="895">
        <v>19</v>
      </c>
      <c r="D17" s="895">
        <v>34555.700000000004</v>
      </c>
      <c r="E17" s="897">
        <v>0.3</v>
      </c>
      <c r="F17" s="798">
        <f t="shared" si="1"/>
        <v>0.7</v>
      </c>
      <c r="G17" s="734">
        <f t="shared" si="0"/>
        <v>24188.99</v>
      </c>
      <c r="H17" s="867">
        <f t="shared" si="2"/>
        <v>0.87301587301587313</v>
      </c>
      <c r="J17" s="894">
        <f>SISENDID!P152</f>
        <v>170</v>
      </c>
      <c r="K17" s="895">
        <f>SISENDID!Q152</f>
        <v>35</v>
      </c>
      <c r="L17" s="895">
        <f>SISENDID!R152</f>
        <v>70</v>
      </c>
      <c r="M17" s="896">
        <f>SISENDID!S152</f>
        <v>38</v>
      </c>
    </row>
    <row r="18" spans="1:34" s="1" customFormat="1" outlineLevel="1" x14ac:dyDescent="0.25">
      <c r="B18" s="671" t="s">
        <v>581</v>
      </c>
      <c r="C18" s="895">
        <v>352</v>
      </c>
      <c r="D18" s="895">
        <v>64261.899999999972</v>
      </c>
      <c r="E18" s="897">
        <v>0.15</v>
      </c>
      <c r="F18" s="798">
        <f t="shared" si="1"/>
        <v>0.85</v>
      </c>
      <c r="G18" s="734">
        <f t="shared" si="0"/>
        <v>54622.614999999976</v>
      </c>
      <c r="H18" s="867">
        <f t="shared" si="2"/>
        <v>0.87301587301587313</v>
      </c>
      <c r="J18" s="894">
        <f>SISENDID!P153</f>
        <v>80</v>
      </c>
      <c r="K18" s="895">
        <f>SISENDID!Q153</f>
        <v>140</v>
      </c>
      <c r="L18" s="895">
        <f>SISENDID!R153</f>
        <v>55</v>
      </c>
      <c r="M18" s="896">
        <f>SISENDID!S153</f>
        <v>85</v>
      </c>
    </row>
    <row r="19" spans="1:34" s="1" customFormat="1" outlineLevel="1" x14ac:dyDescent="0.25">
      <c r="B19" s="678" t="s">
        <v>445</v>
      </c>
      <c r="C19" s="736">
        <v>1009</v>
      </c>
      <c r="D19" s="736">
        <f>SUM(D13:D18)</f>
        <v>1184509.9399999997</v>
      </c>
      <c r="E19" s="868">
        <f>SUMPRODUCT(E13:E18,D13:D18)/D19</f>
        <v>0.33174891415432117</v>
      </c>
      <c r="F19" s="868">
        <f t="shared" si="1"/>
        <v>0.66825108584567883</v>
      </c>
      <c r="G19" s="736">
        <f>SUM(G13:G18)</f>
        <v>791550.05359999998</v>
      </c>
      <c r="H19" s="869">
        <f>SUMPRODUCT(H13:H18,G13:G18)/G19</f>
        <v>0.87301587301587324</v>
      </c>
      <c r="J19" s="777">
        <f>SUMPRODUCT(J13:J18,$G$13:$G$18)/$G$19</f>
        <v>126.13028457762206</v>
      </c>
      <c r="K19" s="778">
        <f t="shared" ref="K19:M19" si="3">SUMPRODUCT(K13:K18,$G$13:$G$18)/$G$19</f>
        <v>68.573022274633331</v>
      </c>
      <c r="L19" s="778">
        <f t="shared" si="3"/>
        <v>59.464865503989891</v>
      </c>
      <c r="M19" s="779">
        <f t="shared" si="3"/>
        <v>53.675718612824816</v>
      </c>
    </row>
    <row r="20" spans="1:34" s="1" customFormat="1" outlineLevel="1" x14ac:dyDescent="0.25">
      <c r="B20" s="155"/>
      <c r="C20" s="64" t="s">
        <v>879</v>
      </c>
      <c r="D20" s="155"/>
      <c r="E20" s="155"/>
      <c r="F20" s="155"/>
      <c r="G20" s="155"/>
      <c r="H20" s="155"/>
      <c r="J20" s="876">
        <f>J19/(J19+K19)</f>
        <v>0.64780761362893613</v>
      </c>
      <c r="K20" s="877">
        <f>1-J20</f>
        <v>0.35219238637106387</v>
      </c>
      <c r="L20" s="878">
        <f>L19/(L19+M19)</f>
        <v>0.52558386513714628</v>
      </c>
      <c r="M20" s="879">
        <f>1-L20</f>
        <v>0.47441613486285372</v>
      </c>
    </row>
    <row r="21" spans="1:34" s="1" customFormat="1" outlineLevel="1" x14ac:dyDescent="0.25">
      <c r="B21" s="155"/>
      <c r="C21" s="64" t="s">
        <v>585</v>
      </c>
      <c r="D21" s="155"/>
      <c r="E21" s="155"/>
      <c r="F21" s="155"/>
      <c r="G21" s="155"/>
      <c r="H21" s="155"/>
      <c r="J21" s="64" t="s">
        <v>584</v>
      </c>
      <c r="K21" s="155"/>
      <c r="L21" s="155"/>
      <c r="M21" s="155"/>
    </row>
    <row r="22" spans="1:34" s="1" customFormat="1" outlineLevel="1" x14ac:dyDescent="0.25">
      <c r="B22" s="155"/>
      <c r="C22" s="64"/>
      <c r="D22" s="155"/>
      <c r="E22" s="155"/>
      <c r="F22" s="155"/>
      <c r="G22" s="155"/>
      <c r="H22" s="155"/>
      <c r="I22" s="64"/>
      <c r="J22" s="155"/>
      <c r="K22" s="155"/>
      <c r="L22" s="155"/>
    </row>
    <row r="23" spans="1:34" s="1" customFormat="1" outlineLevel="1" x14ac:dyDescent="0.25">
      <c r="B23" s="671" t="s">
        <v>880</v>
      </c>
      <c r="C23" s="898">
        <v>0.8</v>
      </c>
      <c r="D23" s="155" t="s">
        <v>881</v>
      </c>
      <c r="F23" s="338"/>
      <c r="G23" s="309"/>
    </row>
    <row r="24" spans="1:34" s="1" customFormat="1" outlineLevel="1" x14ac:dyDescent="0.25">
      <c r="B24" s="671" t="s">
        <v>882</v>
      </c>
      <c r="C24" s="796">
        <f>G19/C9*C23</f>
        <v>25329.601715199999</v>
      </c>
      <c r="D24" s="155" t="s">
        <v>554</v>
      </c>
      <c r="E24" s="155"/>
      <c r="F24" s="155"/>
    </row>
    <row r="25" spans="1:34" s="1" customFormat="1" outlineLevel="1" x14ac:dyDescent="0.25">
      <c r="B25" s="671" t="s">
        <v>883</v>
      </c>
      <c r="C25" s="796">
        <f>SISENDID!E175-500</f>
        <v>1022.80558218547</v>
      </c>
      <c r="D25" s="155" t="s">
        <v>884</v>
      </c>
      <c r="E25" s="155" t="s">
        <v>885</v>
      </c>
      <c r="F25" s="155"/>
      <c r="L25" s="309"/>
    </row>
    <row r="26" spans="1:34" s="1" customFormat="1" outlineLevel="1" x14ac:dyDescent="0.25">
      <c r="B26" s="671" t="s">
        <v>886</v>
      </c>
      <c r="C26" s="899">
        <v>78</v>
      </c>
      <c r="D26" s="155" t="s">
        <v>887</v>
      </c>
      <c r="E26" s="339" t="s">
        <v>888</v>
      </c>
      <c r="F26" s="155"/>
    </row>
    <row r="27" spans="1:34" s="1" customFormat="1" outlineLevel="1" x14ac:dyDescent="0.25">
      <c r="B27" s="671" t="s">
        <v>889</v>
      </c>
      <c r="C27" s="900">
        <f>600/11.2</f>
        <v>53.571428571428577</v>
      </c>
      <c r="D27" s="155" t="s">
        <v>887</v>
      </c>
      <c r="E27" s="339" t="s">
        <v>890</v>
      </c>
      <c r="F27" s="155"/>
    </row>
    <row r="28" spans="1:34" s="1" customFormat="1" outlineLevel="1" x14ac:dyDescent="0.25">
      <c r="B28" s="671" t="s">
        <v>891</v>
      </c>
      <c r="C28" s="899">
        <v>150</v>
      </c>
      <c r="D28" s="155" t="s">
        <v>887</v>
      </c>
      <c r="E28" s="339" t="s">
        <v>892</v>
      </c>
      <c r="F28" s="155"/>
    </row>
    <row r="29" spans="1:34" s="1" customFormat="1" outlineLevel="1" x14ac:dyDescent="0.25">
      <c r="B29" s="671" t="s">
        <v>893</v>
      </c>
      <c r="C29" s="898">
        <v>0.95</v>
      </c>
      <c r="D29" s="155"/>
      <c r="E29" s="339" t="s">
        <v>892</v>
      </c>
      <c r="F29" s="155"/>
    </row>
    <row r="30" spans="1:34" outlineLevel="1" x14ac:dyDescent="0.25">
      <c r="A30" s="1"/>
      <c r="B30" s="671" t="s">
        <v>894</v>
      </c>
      <c r="C30" s="899">
        <v>25</v>
      </c>
      <c r="D30" s="155" t="s">
        <v>863</v>
      </c>
      <c r="E30" s="339" t="s">
        <v>892</v>
      </c>
      <c r="F30" s="155"/>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s="1" customFormat="1" x14ac:dyDescent="0.25">
      <c r="B31" s="232"/>
      <c r="C31" s="232"/>
      <c r="D31" s="228"/>
      <c r="E31" s="228"/>
    </row>
    <row r="32" spans="1:34" x14ac:dyDescent="0.25">
      <c r="A32" s="1"/>
      <c r="B32" s="657" t="s">
        <v>895</v>
      </c>
      <c r="C32" s="657"/>
      <c r="D32" s="657"/>
      <c r="E32" s="657"/>
      <c r="F32" s="657"/>
      <c r="G32" s="657"/>
      <c r="H32" s="657"/>
      <c r="I32" s="657"/>
      <c r="J32" s="657"/>
      <c r="K32" s="657"/>
      <c r="L32" s="657"/>
      <c r="M32" s="1"/>
      <c r="P32" s="1"/>
      <c r="Q32" s="1"/>
      <c r="R32" s="1"/>
      <c r="S32" s="1"/>
      <c r="T32" s="1"/>
      <c r="U32" s="1"/>
      <c r="V32" s="1"/>
      <c r="W32" s="1"/>
      <c r="X32" s="1"/>
      <c r="Y32" s="1"/>
      <c r="Z32" s="1"/>
      <c r="AA32" s="1"/>
      <c r="AB32" s="1"/>
      <c r="AC32" s="1"/>
      <c r="AD32" s="1"/>
      <c r="AE32" s="1"/>
      <c r="AF32" s="1"/>
      <c r="AG32" s="1"/>
      <c r="AH32" s="1"/>
    </row>
    <row r="33" spans="1:12" s="1" customFormat="1" ht="9.75" customHeight="1" outlineLevel="1" x14ac:dyDescent="0.25"/>
    <row r="34" spans="1:12" s="1" customFormat="1" outlineLevel="1" x14ac:dyDescent="0.25">
      <c r="B34" s="284" t="s">
        <v>896</v>
      </c>
      <c r="D34" s="234"/>
      <c r="E34" s="284" t="s">
        <v>897</v>
      </c>
      <c r="L34" s="239"/>
    </row>
    <row r="35" spans="1:12" s="1" customFormat="1" ht="15" customHeight="1" outlineLevel="1" x14ac:dyDescent="0.25">
      <c r="B35" s="661" t="s">
        <v>898</v>
      </c>
      <c r="C35" s="701" t="s">
        <v>899</v>
      </c>
      <c r="E35" s="661"/>
      <c r="F35" s="701" t="s">
        <v>900</v>
      </c>
    </row>
    <row r="36" spans="1:12" s="1" customFormat="1" ht="15" customHeight="1" outlineLevel="1" x14ac:dyDescent="0.25">
      <c r="B36" s="663" t="s">
        <v>398</v>
      </c>
      <c r="C36" s="666">
        <f>C55/1000</f>
        <v>25.907258028841216</v>
      </c>
      <c r="E36" s="663">
        <v>2030</v>
      </c>
      <c r="F36" s="670">
        <f>G76</f>
        <v>224.79794804786414</v>
      </c>
    </row>
    <row r="37" spans="1:12" s="1" customFormat="1" ht="15" customHeight="1" outlineLevel="1" x14ac:dyDescent="0.25">
      <c r="B37" s="155" t="s">
        <v>399</v>
      </c>
      <c r="C37" s="667">
        <f>C36</f>
        <v>25.907258028841216</v>
      </c>
      <c r="E37" s="155">
        <v>2035</v>
      </c>
      <c r="F37" s="428">
        <f>L76</f>
        <v>449.59589609572828</v>
      </c>
    </row>
    <row r="38" spans="1:12" s="1" customFormat="1" ht="15" customHeight="1" outlineLevel="1" x14ac:dyDescent="0.25">
      <c r="B38" s="663" t="s">
        <v>400</v>
      </c>
      <c r="C38" s="666">
        <f>AVERAGE(C57:AA57)/1000</f>
        <v>23.519426703757858</v>
      </c>
      <c r="D38" s="261"/>
      <c r="E38" s="663">
        <v>2040</v>
      </c>
      <c r="F38" s="670">
        <f>Q76</f>
        <v>674.39384414359256</v>
      </c>
    </row>
    <row r="39" spans="1:12" s="1" customFormat="1" outlineLevel="1" x14ac:dyDescent="0.25">
      <c r="B39" s="155" t="s">
        <v>401</v>
      </c>
      <c r="C39" s="667">
        <f>C38</f>
        <v>23.519426703757858</v>
      </c>
      <c r="D39" s="261"/>
      <c r="E39" s="155">
        <v>2045</v>
      </c>
      <c r="F39" s="428">
        <f>V76</f>
        <v>899.19179219145656</v>
      </c>
    </row>
    <row r="40" spans="1:12" s="1" customFormat="1" ht="15" customHeight="1" outlineLevel="1" x14ac:dyDescent="0.25">
      <c r="B40" s="663" t="s">
        <v>901</v>
      </c>
      <c r="C40" s="670">
        <f>MAX(C76:AQ76)</f>
        <v>1123.989740239321</v>
      </c>
      <c r="D40" s="261"/>
      <c r="E40" s="663">
        <v>2050</v>
      </c>
      <c r="F40" s="670">
        <f>AA76</f>
        <v>1123.989740239321</v>
      </c>
    </row>
    <row r="41" spans="1:12" s="1" customFormat="1" ht="15" customHeight="1" outlineLevel="1" x14ac:dyDescent="0.25">
      <c r="B41" s="155" t="s">
        <v>902</v>
      </c>
      <c r="C41" s="428">
        <f>SUM(C69:AA69)/1000</f>
        <v>675.10198788337323</v>
      </c>
      <c r="D41" s="261"/>
      <c r="E41" s="228"/>
    </row>
    <row r="42" spans="1:12" s="1" customFormat="1" outlineLevel="1" x14ac:dyDescent="0.25">
      <c r="B42" s="713" t="s">
        <v>403</v>
      </c>
      <c r="C42" s="714">
        <f>SUM(C57:AU57)*1000/SUM(C76:AU76)</f>
        <v>19035.778792368877</v>
      </c>
      <c r="D42" s="261"/>
      <c r="E42" s="228"/>
    </row>
    <row r="43" spans="1:12" s="1" customFormat="1" outlineLevel="1" x14ac:dyDescent="0.25">
      <c r="B43" s="13"/>
      <c r="C43" s="236"/>
    </row>
    <row r="44" spans="1:12" s="1" customFormat="1" outlineLevel="1" x14ac:dyDescent="0.25">
      <c r="B44" s="284" t="s">
        <v>903</v>
      </c>
      <c r="D44" s="43"/>
      <c r="J44" s="360" t="s">
        <v>876</v>
      </c>
    </row>
    <row r="45" spans="1:12" s="1" customFormat="1" outlineLevel="1" x14ac:dyDescent="0.25">
      <c r="A45" s="33"/>
      <c r="B45" s="155" t="s">
        <v>904</v>
      </c>
      <c r="C45" s="307" t="s">
        <v>905</v>
      </c>
      <c r="D45" s="12"/>
      <c r="G45" s="12"/>
      <c r="H45" s="12"/>
      <c r="J45" s="311" t="s">
        <v>474</v>
      </c>
      <c r="K45" s="295" t="s">
        <v>906</v>
      </c>
    </row>
    <row r="46" spans="1:12" s="1" customFormat="1" ht="16.5" customHeight="1" outlineLevel="1" x14ac:dyDescent="0.25">
      <c r="A46" s="33">
        <v>1</v>
      </c>
      <c r="B46" s="155" t="s">
        <v>907</v>
      </c>
      <c r="C46" s="307" t="s">
        <v>474</v>
      </c>
      <c r="D46" s="397">
        <f>IF(C46="Kõrge",3,IF(C46="Mõõdukas",2,1))</f>
        <v>3</v>
      </c>
      <c r="G46" s="12"/>
      <c r="H46" s="12"/>
      <c r="J46" s="312" t="s">
        <v>905</v>
      </c>
      <c r="K46" s="295" t="s">
        <v>908</v>
      </c>
    </row>
    <row r="47" spans="1:12" s="1" customFormat="1" ht="16.5" customHeight="1" outlineLevel="1" x14ac:dyDescent="0.25">
      <c r="A47" s="33"/>
      <c r="B47" s="155" t="s">
        <v>909</v>
      </c>
      <c r="C47" s="307" t="s">
        <v>905</v>
      </c>
      <c r="D47" s="397">
        <f>IF(C47="Kõrge",3,IF(C47="Mõõdukas",2,1))</f>
        <v>2</v>
      </c>
      <c r="J47" s="313" t="s">
        <v>910</v>
      </c>
      <c r="K47" s="295" t="s">
        <v>911</v>
      </c>
    </row>
    <row r="48" spans="1:12" s="1" customFormat="1" x14ac:dyDescent="0.25">
      <c r="A48" s="33"/>
      <c r="B48" s="143"/>
      <c r="C48" s="399" t="s">
        <v>912</v>
      </c>
      <c r="D48" s="398">
        <f>D47+D46</f>
        <v>5</v>
      </c>
      <c r="H48" s="233"/>
      <c r="L48" s="295"/>
    </row>
    <row r="49" spans="1:47" x14ac:dyDescent="0.25">
      <c r="A49" s="1"/>
      <c r="B49" s="659" t="s">
        <v>913</v>
      </c>
      <c r="C49" s="659"/>
      <c r="D49" s="659"/>
      <c r="E49" s="659"/>
      <c r="F49" s="659"/>
      <c r="G49" s="659"/>
      <c r="H49" s="659"/>
      <c r="I49" s="659"/>
      <c r="J49" s="659"/>
      <c r="K49" s="659"/>
      <c r="L49" s="659"/>
      <c r="M49" s="659"/>
      <c r="N49" s="659"/>
      <c r="O49" s="659"/>
      <c r="P49" s="659"/>
      <c r="Q49" s="659"/>
      <c r="R49" s="659"/>
      <c r="S49" s="659"/>
      <c r="T49" s="659"/>
      <c r="U49" s="659"/>
      <c r="V49" s="659"/>
      <c r="W49" s="659"/>
      <c r="X49" s="659"/>
      <c r="Y49" s="659"/>
      <c r="Z49" s="659"/>
      <c r="AA49" s="659"/>
      <c r="AB49" s="659"/>
      <c r="AC49" s="659"/>
      <c r="AD49" s="659"/>
      <c r="AE49" s="659"/>
      <c r="AF49" s="659"/>
      <c r="AG49" s="659"/>
      <c r="AH49" s="659"/>
      <c r="AI49" s="659"/>
      <c r="AJ49" s="659"/>
      <c r="AK49" s="659"/>
      <c r="AL49" s="659"/>
      <c r="AM49" s="659"/>
      <c r="AN49" s="659"/>
      <c r="AO49" s="659"/>
      <c r="AP49" s="659"/>
      <c r="AQ49" s="659"/>
      <c r="AR49" s="659"/>
      <c r="AS49" s="659"/>
      <c r="AT49" s="659"/>
      <c r="AU49" s="659"/>
    </row>
    <row r="50" spans="1:47" s="15" customFormat="1" ht="7.5" customHeight="1" outlineLevel="1" x14ac:dyDescent="0.25"/>
    <row r="51" spans="1:47" s="15" customFormat="1" ht="13.5" outlineLevel="1" x14ac:dyDescent="0.25">
      <c r="B51" s="696" t="s">
        <v>914</v>
      </c>
      <c r="C51" s="698">
        <f>C7</f>
        <v>2026</v>
      </c>
      <c r="D51" s="698">
        <f>C51+1</f>
        <v>2027</v>
      </c>
      <c r="E51" s="698">
        <f>D51+1</f>
        <v>2028</v>
      </c>
      <c r="F51" s="698">
        <f t="shared" ref="F51:AQ51" si="4">E51+1</f>
        <v>2029</v>
      </c>
      <c r="G51" s="698">
        <f t="shared" si="4"/>
        <v>2030</v>
      </c>
      <c r="H51" s="698">
        <f t="shared" si="4"/>
        <v>2031</v>
      </c>
      <c r="I51" s="698">
        <f t="shared" si="4"/>
        <v>2032</v>
      </c>
      <c r="J51" s="698">
        <f t="shared" si="4"/>
        <v>2033</v>
      </c>
      <c r="K51" s="698">
        <f t="shared" si="4"/>
        <v>2034</v>
      </c>
      <c r="L51" s="698">
        <f t="shared" si="4"/>
        <v>2035</v>
      </c>
      <c r="M51" s="698">
        <f t="shared" si="4"/>
        <v>2036</v>
      </c>
      <c r="N51" s="698">
        <f t="shared" si="4"/>
        <v>2037</v>
      </c>
      <c r="O51" s="698">
        <f t="shared" si="4"/>
        <v>2038</v>
      </c>
      <c r="P51" s="698">
        <f t="shared" si="4"/>
        <v>2039</v>
      </c>
      <c r="Q51" s="698">
        <f t="shared" si="4"/>
        <v>2040</v>
      </c>
      <c r="R51" s="698">
        <f t="shared" si="4"/>
        <v>2041</v>
      </c>
      <c r="S51" s="698">
        <f t="shared" si="4"/>
        <v>2042</v>
      </c>
      <c r="T51" s="698">
        <f t="shared" si="4"/>
        <v>2043</v>
      </c>
      <c r="U51" s="698">
        <f t="shared" si="4"/>
        <v>2044</v>
      </c>
      <c r="V51" s="698">
        <f t="shared" si="4"/>
        <v>2045</v>
      </c>
      <c r="W51" s="698">
        <f t="shared" si="4"/>
        <v>2046</v>
      </c>
      <c r="X51" s="698">
        <f t="shared" si="4"/>
        <v>2047</v>
      </c>
      <c r="Y51" s="698">
        <f t="shared" si="4"/>
        <v>2048</v>
      </c>
      <c r="Z51" s="698">
        <f t="shared" si="4"/>
        <v>2049</v>
      </c>
      <c r="AA51" s="698">
        <f t="shared" si="4"/>
        <v>2050</v>
      </c>
      <c r="AB51" s="698">
        <f t="shared" si="4"/>
        <v>2051</v>
      </c>
      <c r="AC51" s="698">
        <f t="shared" si="4"/>
        <v>2052</v>
      </c>
      <c r="AD51" s="698">
        <f t="shared" si="4"/>
        <v>2053</v>
      </c>
      <c r="AE51" s="698">
        <f t="shared" si="4"/>
        <v>2054</v>
      </c>
      <c r="AF51" s="698">
        <f t="shared" si="4"/>
        <v>2055</v>
      </c>
      <c r="AG51" s="698">
        <f t="shared" si="4"/>
        <v>2056</v>
      </c>
      <c r="AH51" s="698">
        <f t="shared" si="4"/>
        <v>2057</v>
      </c>
      <c r="AI51" s="698">
        <f t="shared" si="4"/>
        <v>2058</v>
      </c>
      <c r="AJ51" s="698">
        <f t="shared" si="4"/>
        <v>2059</v>
      </c>
      <c r="AK51" s="698">
        <f t="shared" si="4"/>
        <v>2060</v>
      </c>
      <c r="AL51" s="698">
        <f t="shared" si="4"/>
        <v>2061</v>
      </c>
      <c r="AM51" s="698">
        <f t="shared" si="4"/>
        <v>2062</v>
      </c>
      <c r="AN51" s="698">
        <f t="shared" si="4"/>
        <v>2063</v>
      </c>
      <c r="AO51" s="698">
        <f t="shared" si="4"/>
        <v>2064</v>
      </c>
      <c r="AP51" s="698">
        <f t="shared" si="4"/>
        <v>2065</v>
      </c>
      <c r="AQ51" s="698">
        <f t="shared" si="4"/>
        <v>2066</v>
      </c>
      <c r="AR51" s="698">
        <f t="shared" ref="AR51" si="5">AQ51+1</f>
        <v>2067</v>
      </c>
      <c r="AS51" s="698">
        <f t="shared" ref="AS51" si="6">AR51+1</f>
        <v>2068</v>
      </c>
      <c r="AT51" s="698">
        <f t="shared" ref="AT51" si="7">AS51+1</f>
        <v>2069</v>
      </c>
      <c r="AU51" s="699">
        <f t="shared" ref="AU51" si="8">AT51+1</f>
        <v>2070</v>
      </c>
    </row>
    <row r="52" spans="1:47" s="15" customFormat="1" ht="13.5" outlineLevel="1" x14ac:dyDescent="0.25">
      <c r="B52" s="723" t="s">
        <v>915</v>
      </c>
      <c r="C52" s="724">
        <f>IF(OR(C51&lt;$C$7,C51&gt;$C$8),0,$C$24)</f>
        <v>25329.601715199999</v>
      </c>
      <c r="D52" s="724">
        <f>IF(OR(D51&lt;$C$7,D51&gt;$C$8),0,$C$24)</f>
        <v>25329.601715199999</v>
      </c>
      <c r="E52" s="724">
        <f t="shared" ref="E52:AU52" si="9">IF(OR(E51&lt;$C$7,E51&gt;$C$8),0,$C$24)</f>
        <v>25329.601715199999</v>
      </c>
      <c r="F52" s="724">
        <f t="shared" si="9"/>
        <v>25329.601715199999</v>
      </c>
      <c r="G52" s="724">
        <f t="shared" si="9"/>
        <v>25329.601715199999</v>
      </c>
      <c r="H52" s="724">
        <f t="shared" si="9"/>
        <v>25329.601715199999</v>
      </c>
      <c r="I52" s="724">
        <f t="shared" si="9"/>
        <v>25329.601715199999</v>
      </c>
      <c r="J52" s="724">
        <f t="shared" si="9"/>
        <v>25329.601715199999</v>
      </c>
      <c r="K52" s="724">
        <f t="shared" si="9"/>
        <v>25329.601715199999</v>
      </c>
      <c r="L52" s="724">
        <f t="shared" si="9"/>
        <v>25329.601715199999</v>
      </c>
      <c r="M52" s="724">
        <f t="shared" si="9"/>
        <v>25329.601715199999</v>
      </c>
      <c r="N52" s="724">
        <f t="shared" si="9"/>
        <v>25329.601715199999</v>
      </c>
      <c r="O52" s="724">
        <f t="shared" si="9"/>
        <v>25329.601715199999</v>
      </c>
      <c r="P52" s="724">
        <f t="shared" si="9"/>
        <v>25329.601715199999</v>
      </c>
      <c r="Q52" s="724">
        <f t="shared" si="9"/>
        <v>25329.601715199999</v>
      </c>
      <c r="R52" s="724">
        <f t="shared" si="9"/>
        <v>25329.601715199999</v>
      </c>
      <c r="S52" s="724">
        <f t="shared" si="9"/>
        <v>25329.601715199999</v>
      </c>
      <c r="T52" s="724">
        <f t="shared" si="9"/>
        <v>25329.601715199999</v>
      </c>
      <c r="U52" s="724">
        <f t="shared" si="9"/>
        <v>25329.601715199999</v>
      </c>
      <c r="V52" s="724">
        <f t="shared" si="9"/>
        <v>25329.601715199999</v>
      </c>
      <c r="W52" s="724">
        <f t="shared" si="9"/>
        <v>25329.601715199999</v>
      </c>
      <c r="X52" s="724">
        <f t="shared" si="9"/>
        <v>25329.601715199999</v>
      </c>
      <c r="Y52" s="724">
        <f t="shared" si="9"/>
        <v>25329.601715199999</v>
      </c>
      <c r="Z52" s="724">
        <f t="shared" si="9"/>
        <v>25329.601715199999</v>
      </c>
      <c r="AA52" s="724">
        <f t="shared" si="9"/>
        <v>25329.601715199999</v>
      </c>
      <c r="AB52" s="724">
        <f t="shared" si="9"/>
        <v>0</v>
      </c>
      <c r="AC52" s="724">
        <f t="shared" si="9"/>
        <v>0</v>
      </c>
      <c r="AD52" s="724">
        <f t="shared" si="9"/>
        <v>0</v>
      </c>
      <c r="AE52" s="724">
        <f t="shared" si="9"/>
        <v>0</v>
      </c>
      <c r="AF52" s="724">
        <f t="shared" si="9"/>
        <v>0</v>
      </c>
      <c r="AG52" s="724">
        <f t="shared" si="9"/>
        <v>0</v>
      </c>
      <c r="AH52" s="724">
        <f t="shared" si="9"/>
        <v>0</v>
      </c>
      <c r="AI52" s="724">
        <f t="shared" si="9"/>
        <v>0</v>
      </c>
      <c r="AJ52" s="724">
        <f t="shared" si="9"/>
        <v>0</v>
      </c>
      <c r="AK52" s="724">
        <f t="shared" si="9"/>
        <v>0</v>
      </c>
      <c r="AL52" s="724">
        <f t="shared" si="9"/>
        <v>0</v>
      </c>
      <c r="AM52" s="724">
        <f t="shared" si="9"/>
        <v>0</v>
      </c>
      <c r="AN52" s="724">
        <f t="shared" si="9"/>
        <v>0</v>
      </c>
      <c r="AO52" s="724">
        <f t="shared" si="9"/>
        <v>0</v>
      </c>
      <c r="AP52" s="724">
        <f t="shared" si="9"/>
        <v>0</v>
      </c>
      <c r="AQ52" s="724">
        <f t="shared" si="9"/>
        <v>0</v>
      </c>
      <c r="AR52" s="724">
        <f t="shared" si="9"/>
        <v>0</v>
      </c>
      <c r="AS52" s="724">
        <f t="shared" si="9"/>
        <v>0</v>
      </c>
      <c r="AT52" s="724">
        <f t="shared" si="9"/>
        <v>0</v>
      </c>
      <c r="AU52" s="725">
        <f t="shared" si="9"/>
        <v>0</v>
      </c>
    </row>
    <row r="53" spans="1:47" s="15" customFormat="1" ht="13.5" outlineLevel="1" x14ac:dyDescent="0.25">
      <c r="B53" s="723" t="s">
        <v>916</v>
      </c>
      <c r="C53" s="724">
        <f>C52</f>
        <v>25329.601715199999</v>
      </c>
      <c r="D53" s="724">
        <f>C53+D52-IF(ISERROR(HLOOKUP(D51-$C$30,$C$51:$AG$52,2,FALSE)),0,HLOOKUP(D51-$C$30,$C$51:$AG$52,2,FALSE))</f>
        <v>50659.203430399997</v>
      </c>
      <c r="E53" s="724">
        <f>D53+E52-IF(ISERROR(HLOOKUP(E51-$C$30,$C$51:$AG$52,2,FALSE)),0,HLOOKUP(E51-$C$30,$C$51:$AG$52,2,FALSE))</f>
        <v>75988.805145599996</v>
      </c>
      <c r="F53" s="724">
        <f t="shared" ref="F53:AU53" si="10">E53+F52-IF(ISERROR(HLOOKUP(F51-$C$30,$C$51:$AG$52,2,FALSE)),0,HLOOKUP(F51-$C$30,$C$51:$AG$52,2,FALSE))</f>
        <v>101318.40686079999</v>
      </c>
      <c r="G53" s="724">
        <f t="shared" si="10"/>
        <v>126648.00857599999</v>
      </c>
      <c r="H53" s="724">
        <f t="shared" si="10"/>
        <v>151977.61029119999</v>
      </c>
      <c r="I53" s="724">
        <f t="shared" si="10"/>
        <v>177307.21200639999</v>
      </c>
      <c r="J53" s="724">
        <f t="shared" si="10"/>
        <v>202636.81372159999</v>
      </c>
      <c r="K53" s="724">
        <f t="shared" si="10"/>
        <v>227966.41543679999</v>
      </c>
      <c r="L53" s="724">
        <f t="shared" si="10"/>
        <v>253296.01715199999</v>
      </c>
      <c r="M53" s="724">
        <f t="shared" si="10"/>
        <v>278625.61886719998</v>
      </c>
      <c r="N53" s="724">
        <f t="shared" si="10"/>
        <v>303955.22058239998</v>
      </c>
      <c r="O53" s="724">
        <f t="shared" si="10"/>
        <v>329284.82229759998</v>
      </c>
      <c r="P53" s="724">
        <f t="shared" si="10"/>
        <v>354614.42401279998</v>
      </c>
      <c r="Q53" s="724">
        <f t="shared" si="10"/>
        <v>379944.02572799998</v>
      </c>
      <c r="R53" s="724">
        <f t="shared" si="10"/>
        <v>405273.62744319998</v>
      </c>
      <c r="S53" s="724">
        <f t="shared" si="10"/>
        <v>430603.22915839998</v>
      </c>
      <c r="T53" s="724">
        <f t="shared" si="10"/>
        <v>455932.83087359997</v>
      </c>
      <c r="U53" s="724">
        <f t="shared" si="10"/>
        <v>481262.43258879997</v>
      </c>
      <c r="V53" s="724">
        <f t="shared" si="10"/>
        <v>506592.03430399997</v>
      </c>
      <c r="W53" s="724">
        <f t="shared" si="10"/>
        <v>531921.63601919997</v>
      </c>
      <c r="X53" s="724">
        <f t="shared" si="10"/>
        <v>557251.23773439997</v>
      </c>
      <c r="Y53" s="724">
        <f t="shared" si="10"/>
        <v>582580.83944959997</v>
      </c>
      <c r="Z53" s="724">
        <f t="shared" si="10"/>
        <v>607910.44116479997</v>
      </c>
      <c r="AA53" s="724">
        <f t="shared" si="10"/>
        <v>633240.04287999996</v>
      </c>
      <c r="AB53" s="724">
        <f t="shared" si="10"/>
        <v>607910.44116479997</v>
      </c>
      <c r="AC53" s="724">
        <f t="shared" si="10"/>
        <v>582580.83944959997</v>
      </c>
      <c r="AD53" s="724">
        <f t="shared" si="10"/>
        <v>557251.23773439997</v>
      </c>
      <c r="AE53" s="724">
        <f t="shared" si="10"/>
        <v>531921.63601919997</v>
      </c>
      <c r="AF53" s="724">
        <f t="shared" si="10"/>
        <v>506592.03430399997</v>
      </c>
      <c r="AG53" s="724">
        <f t="shared" si="10"/>
        <v>481262.43258879997</v>
      </c>
      <c r="AH53" s="724">
        <f t="shared" si="10"/>
        <v>455932.83087359997</v>
      </c>
      <c r="AI53" s="724">
        <f t="shared" si="10"/>
        <v>430603.22915839998</v>
      </c>
      <c r="AJ53" s="724">
        <f t="shared" si="10"/>
        <v>405273.62744319998</v>
      </c>
      <c r="AK53" s="724">
        <f t="shared" si="10"/>
        <v>379944.02572799998</v>
      </c>
      <c r="AL53" s="724">
        <f t="shared" si="10"/>
        <v>354614.42401279998</v>
      </c>
      <c r="AM53" s="724">
        <f t="shared" si="10"/>
        <v>329284.82229759998</v>
      </c>
      <c r="AN53" s="724">
        <f t="shared" si="10"/>
        <v>303955.22058239998</v>
      </c>
      <c r="AO53" s="724">
        <f t="shared" si="10"/>
        <v>278625.61886719998</v>
      </c>
      <c r="AP53" s="724">
        <f t="shared" si="10"/>
        <v>253296.01715199999</v>
      </c>
      <c r="AQ53" s="724">
        <f t="shared" si="10"/>
        <v>227966.41543679999</v>
      </c>
      <c r="AR53" s="724">
        <f t="shared" si="10"/>
        <v>202636.81372159999</v>
      </c>
      <c r="AS53" s="724">
        <f t="shared" si="10"/>
        <v>177307.21200639999</v>
      </c>
      <c r="AT53" s="724">
        <f t="shared" si="10"/>
        <v>151977.61029119999</v>
      </c>
      <c r="AU53" s="725">
        <f t="shared" si="10"/>
        <v>126648.00857599999</v>
      </c>
    </row>
    <row r="54" spans="1:47" s="15" customFormat="1" ht="13.5" outlineLevel="1" x14ac:dyDescent="0.25">
      <c r="E54" s="719"/>
      <c r="F54" s="719"/>
      <c r="G54" s="719"/>
      <c r="H54" s="719"/>
      <c r="I54" s="719"/>
      <c r="J54" s="719"/>
      <c r="K54" s="719"/>
      <c r="L54" s="719"/>
      <c r="M54" s="719"/>
      <c r="N54" s="719"/>
      <c r="O54" s="719"/>
      <c r="P54" s="719"/>
      <c r="Q54" s="719"/>
      <c r="R54" s="719"/>
      <c r="S54" s="719"/>
      <c r="T54" s="719"/>
      <c r="U54" s="719"/>
      <c r="V54" s="719"/>
      <c r="W54" s="719"/>
      <c r="X54" s="719"/>
      <c r="Y54" s="719"/>
      <c r="Z54" s="719"/>
      <c r="AA54" s="719"/>
      <c r="AB54" s="719"/>
      <c r="AC54" s="719"/>
      <c r="AD54" s="719"/>
      <c r="AE54" s="719"/>
      <c r="AF54" s="719"/>
      <c r="AG54" s="719"/>
      <c r="AH54" s="719"/>
      <c r="AI54" s="719"/>
      <c r="AJ54" s="719"/>
      <c r="AK54" s="719"/>
      <c r="AL54" s="719"/>
      <c r="AM54" s="719"/>
      <c r="AN54" s="719"/>
      <c r="AO54" s="719"/>
      <c r="AP54" s="719"/>
      <c r="AQ54" s="719"/>
      <c r="AR54" s="719"/>
      <c r="AS54" s="719"/>
      <c r="AT54" s="719"/>
      <c r="AU54" s="434"/>
    </row>
    <row r="55" spans="1:47" s="15" customFormat="1" ht="13.5" outlineLevel="1" x14ac:dyDescent="0.25">
      <c r="B55" s="431" t="s">
        <v>917</v>
      </c>
      <c r="C55" s="717">
        <f>C52*$C$25/1000</f>
        <v>25907.258028841217</v>
      </c>
      <c r="D55" s="717">
        <f>D52*$C$25/1000</f>
        <v>25907.258028841217</v>
      </c>
      <c r="E55" s="717">
        <f t="shared" ref="E55:AQ55" si="11">E52*$C$25/1000</f>
        <v>25907.258028841217</v>
      </c>
      <c r="F55" s="717">
        <f t="shared" si="11"/>
        <v>25907.258028841217</v>
      </c>
      <c r="G55" s="717">
        <f t="shared" si="11"/>
        <v>25907.258028841217</v>
      </c>
      <c r="H55" s="717">
        <f t="shared" si="11"/>
        <v>25907.258028841217</v>
      </c>
      <c r="I55" s="717">
        <f t="shared" si="11"/>
        <v>25907.258028841217</v>
      </c>
      <c r="J55" s="717">
        <f t="shared" si="11"/>
        <v>25907.258028841217</v>
      </c>
      <c r="K55" s="717">
        <f t="shared" si="11"/>
        <v>25907.258028841217</v>
      </c>
      <c r="L55" s="717">
        <f t="shared" si="11"/>
        <v>25907.258028841217</v>
      </c>
      <c r="M55" s="717">
        <f t="shared" si="11"/>
        <v>25907.258028841217</v>
      </c>
      <c r="N55" s="717">
        <f t="shared" si="11"/>
        <v>25907.258028841217</v>
      </c>
      <c r="O55" s="717">
        <f t="shared" si="11"/>
        <v>25907.258028841217</v>
      </c>
      <c r="P55" s="717">
        <f t="shared" si="11"/>
        <v>25907.258028841217</v>
      </c>
      <c r="Q55" s="717">
        <f t="shared" si="11"/>
        <v>25907.258028841217</v>
      </c>
      <c r="R55" s="717">
        <f t="shared" si="11"/>
        <v>25907.258028841217</v>
      </c>
      <c r="S55" s="717">
        <f t="shared" si="11"/>
        <v>25907.258028841217</v>
      </c>
      <c r="T55" s="717">
        <f t="shared" si="11"/>
        <v>25907.258028841217</v>
      </c>
      <c r="U55" s="717">
        <f t="shared" si="11"/>
        <v>25907.258028841217</v>
      </c>
      <c r="V55" s="717">
        <f t="shared" si="11"/>
        <v>25907.258028841217</v>
      </c>
      <c r="W55" s="717">
        <f t="shared" si="11"/>
        <v>25907.258028841217</v>
      </c>
      <c r="X55" s="717">
        <f t="shared" si="11"/>
        <v>25907.258028841217</v>
      </c>
      <c r="Y55" s="717">
        <f t="shared" si="11"/>
        <v>25907.258028841217</v>
      </c>
      <c r="Z55" s="717">
        <f t="shared" si="11"/>
        <v>25907.258028841217</v>
      </c>
      <c r="AA55" s="717">
        <f t="shared" si="11"/>
        <v>25907.258028841217</v>
      </c>
      <c r="AB55" s="717">
        <f t="shared" si="11"/>
        <v>0</v>
      </c>
      <c r="AC55" s="717">
        <f t="shared" si="11"/>
        <v>0</v>
      </c>
      <c r="AD55" s="717">
        <f t="shared" si="11"/>
        <v>0</v>
      </c>
      <c r="AE55" s="717">
        <f t="shared" si="11"/>
        <v>0</v>
      </c>
      <c r="AF55" s="717">
        <f t="shared" si="11"/>
        <v>0</v>
      </c>
      <c r="AG55" s="717">
        <f t="shared" si="11"/>
        <v>0</v>
      </c>
      <c r="AH55" s="717">
        <f t="shared" si="11"/>
        <v>0</v>
      </c>
      <c r="AI55" s="717">
        <f t="shared" si="11"/>
        <v>0</v>
      </c>
      <c r="AJ55" s="717">
        <f t="shared" si="11"/>
        <v>0</v>
      </c>
      <c r="AK55" s="717">
        <f t="shared" si="11"/>
        <v>0</v>
      </c>
      <c r="AL55" s="717">
        <f t="shared" si="11"/>
        <v>0</v>
      </c>
      <c r="AM55" s="717">
        <f t="shared" si="11"/>
        <v>0</v>
      </c>
      <c r="AN55" s="717">
        <f t="shared" si="11"/>
        <v>0</v>
      </c>
      <c r="AO55" s="717">
        <f t="shared" si="11"/>
        <v>0</v>
      </c>
      <c r="AP55" s="717">
        <f t="shared" si="11"/>
        <v>0</v>
      </c>
      <c r="AQ55" s="717">
        <f t="shared" si="11"/>
        <v>0</v>
      </c>
      <c r="AR55" s="717">
        <f t="shared" ref="AR55:AU55" si="12">AR52*$C$25/1000</f>
        <v>0</v>
      </c>
      <c r="AS55" s="717">
        <f t="shared" si="12"/>
        <v>0</v>
      </c>
      <c r="AT55" s="717">
        <f t="shared" si="12"/>
        <v>0</v>
      </c>
      <c r="AU55" s="718">
        <f t="shared" si="12"/>
        <v>0</v>
      </c>
    </row>
    <row r="56" spans="1:47" s="15" customFormat="1" ht="13.5" outlineLevel="1" x14ac:dyDescent="0.25">
      <c r="B56" s="431" t="s">
        <v>918</v>
      </c>
      <c r="C56" s="717">
        <f>SUMPRODUCT(C70:C72,$C$26:$C$28)/1000</f>
        <v>183.67933269872043</v>
      </c>
      <c r="D56" s="717">
        <f t="shared" ref="D56:AU56" si="13">SUMPRODUCT(D70:D72,$C$26:$C$28)/1000</f>
        <v>367.35866539744086</v>
      </c>
      <c r="E56" s="717">
        <f t="shared" si="13"/>
        <v>551.03799809616135</v>
      </c>
      <c r="F56" s="717">
        <f t="shared" si="13"/>
        <v>734.71733079488172</v>
      </c>
      <c r="G56" s="717">
        <f t="shared" si="13"/>
        <v>918.3966634936022</v>
      </c>
      <c r="H56" s="717">
        <f t="shared" si="13"/>
        <v>1102.0759961923227</v>
      </c>
      <c r="I56" s="717">
        <f t="shared" si="13"/>
        <v>1285.7553288910435</v>
      </c>
      <c r="J56" s="717">
        <f t="shared" si="13"/>
        <v>1469.4346615897634</v>
      </c>
      <c r="K56" s="717">
        <f t="shared" si="13"/>
        <v>1653.1139942884836</v>
      </c>
      <c r="L56" s="717">
        <f t="shared" si="13"/>
        <v>1836.7933269872044</v>
      </c>
      <c r="M56" s="717">
        <f t="shared" si="13"/>
        <v>2020.4726596859257</v>
      </c>
      <c r="N56" s="717">
        <f t="shared" si="13"/>
        <v>2204.1519923846454</v>
      </c>
      <c r="O56" s="717">
        <f t="shared" si="13"/>
        <v>2387.8313250833662</v>
      </c>
      <c r="P56" s="717">
        <f t="shared" si="13"/>
        <v>2571.510657782087</v>
      </c>
      <c r="Q56" s="717">
        <f t="shared" si="13"/>
        <v>2755.1899904808065</v>
      </c>
      <c r="R56" s="717">
        <f t="shared" si="13"/>
        <v>2938.8693231795269</v>
      </c>
      <c r="S56" s="717">
        <f t="shared" si="13"/>
        <v>3122.5486558782477</v>
      </c>
      <c r="T56" s="717">
        <f t="shared" si="13"/>
        <v>3306.2279885769672</v>
      </c>
      <c r="U56" s="717">
        <f t="shared" si="13"/>
        <v>3489.9073212756898</v>
      </c>
      <c r="V56" s="717">
        <f t="shared" si="13"/>
        <v>3673.5866539744088</v>
      </c>
      <c r="W56" s="717">
        <f t="shared" si="13"/>
        <v>3857.2659866731292</v>
      </c>
      <c r="X56" s="717">
        <f t="shared" si="13"/>
        <v>4040.9453193718514</v>
      </c>
      <c r="Y56" s="717">
        <f t="shared" si="13"/>
        <v>4224.6246520705699</v>
      </c>
      <c r="Z56" s="717">
        <f t="shared" si="13"/>
        <v>4408.3039847692908</v>
      </c>
      <c r="AA56" s="717">
        <f t="shared" si="13"/>
        <v>4591.9833174680116</v>
      </c>
      <c r="AB56" s="717">
        <f t="shared" si="13"/>
        <v>4408.3039847692908</v>
      </c>
      <c r="AC56" s="717">
        <f t="shared" si="13"/>
        <v>4224.6246520705699</v>
      </c>
      <c r="AD56" s="717">
        <f t="shared" si="13"/>
        <v>4040.9453193718514</v>
      </c>
      <c r="AE56" s="717">
        <f t="shared" si="13"/>
        <v>3857.2659866731292</v>
      </c>
      <c r="AF56" s="717">
        <f t="shared" si="13"/>
        <v>3673.5866539744088</v>
      </c>
      <c r="AG56" s="717">
        <f t="shared" si="13"/>
        <v>3489.9073212756898</v>
      </c>
      <c r="AH56" s="717">
        <f t="shared" si="13"/>
        <v>3306.2279885769672</v>
      </c>
      <c r="AI56" s="717">
        <f t="shared" si="13"/>
        <v>3122.5486558782477</v>
      </c>
      <c r="AJ56" s="717">
        <f t="shared" si="13"/>
        <v>2938.8693231795269</v>
      </c>
      <c r="AK56" s="717">
        <f t="shared" si="13"/>
        <v>2755.1899904808065</v>
      </c>
      <c r="AL56" s="717">
        <f t="shared" si="13"/>
        <v>2571.510657782087</v>
      </c>
      <c r="AM56" s="717">
        <f t="shared" si="13"/>
        <v>2387.8313250833662</v>
      </c>
      <c r="AN56" s="717">
        <f t="shared" si="13"/>
        <v>2204.1519923846454</v>
      </c>
      <c r="AO56" s="717">
        <f t="shared" si="13"/>
        <v>2020.4726596859257</v>
      </c>
      <c r="AP56" s="717">
        <f t="shared" si="13"/>
        <v>1836.7933269872044</v>
      </c>
      <c r="AQ56" s="717">
        <f t="shared" si="13"/>
        <v>1653.1139942884836</v>
      </c>
      <c r="AR56" s="717">
        <f t="shared" si="13"/>
        <v>1469.4346615897634</v>
      </c>
      <c r="AS56" s="717">
        <f t="shared" si="13"/>
        <v>1285.7553288910435</v>
      </c>
      <c r="AT56" s="717">
        <f t="shared" si="13"/>
        <v>1102.0759961923227</v>
      </c>
      <c r="AU56" s="718">
        <f t="shared" si="13"/>
        <v>918.3966634936022</v>
      </c>
    </row>
    <row r="57" spans="1:47" s="15" customFormat="1" ht="13.5" outlineLevel="1" x14ac:dyDescent="0.25">
      <c r="B57" s="715" t="s">
        <v>919</v>
      </c>
      <c r="C57" s="720">
        <f>C55-C56</f>
        <v>25723.578696142496</v>
      </c>
      <c r="D57" s="720">
        <f t="shared" ref="D57:AQ57" si="14">D55-D56</f>
        <v>25539.899363443776</v>
      </c>
      <c r="E57" s="720">
        <f t="shared" si="14"/>
        <v>25356.220030745055</v>
      </c>
      <c r="F57" s="720">
        <f t="shared" si="14"/>
        <v>25172.540698046334</v>
      </c>
      <c r="G57" s="720">
        <f t="shared" si="14"/>
        <v>24988.861365347617</v>
      </c>
      <c r="H57" s="720">
        <f t="shared" si="14"/>
        <v>24805.182032648896</v>
      </c>
      <c r="I57" s="720">
        <f t="shared" si="14"/>
        <v>24621.502699950175</v>
      </c>
      <c r="J57" s="720">
        <f t="shared" si="14"/>
        <v>24437.823367251454</v>
      </c>
      <c r="K57" s="720">
        <f t="shared" si="14"/>
        <v>24254.144034552734</v>
      </c>
      <c r="L57" s="720">
        <f t="shared" si="14"/>
        <v>24070.464701854013</v>
      </c>
      <c r="M57" s="720">
        <f t="shared" si="14"/>
        <v>23886.785369155292</v>
      </c>
      <c r="N57" s="720">
        <f t="shared" si="14"/>
        <v>23703.106036456571</v>
      </c>
      <c r="O57" s="720">
        <f t="shared" si="14"/>
        <v>23519.42670375785</v>
      </c>
      <c r="P57" s="720">
        <f t="shared" si="14"/>
        <v>23335.747371059129</v>
      </c>
      <c r="Q57" s="720">
        <f t="shared" si="14"/>
        <v>23152.068038360412</v>
      </c>
      <c r="R57" s="720">
        <f t="shared" si="14"/>
        <v>22968.388705661691</v>
      </c>
      <c r="S57" s="720">
        <f t="shared" si="14"/>
        <v>22784.709372962971</v>
      </c>
      <c r="T57" s="720">
        <f t="shared" si="14"/>
        <v>22601.03004026425</v>
      </c>
      <c r="U57" s="720">
        <f t="shared" si="14"/>
        <v>22417.350707565529</v>
      </c>
      <c r="V57" s="720">
        <f t="shared" si="14"/>
        <v>22233.671374866808</v>
      </c>
      <c r="W57" s="720">
        <f t="shared" si="14"/>
        <v>22049.992042168087</v>
      </c>
      <c r="X57" s="720">
        <f t="shared" si="14"/>
        <v>21866.312709469366</v>
      </c>
      <c r="Y57" s="720">
        <f t="shared" si="14"/>
        <v>21682.633376770646</v>
      </c>
      <c r="Z57" s="720">
        <f t="shared" si="14"/>
        <v>21498.954044071928</v>
      </c>
      <c r="AA57" s="720">
        <f t="shared" si="14"/>
        <v>21315.274711373204</v>
      </c>
      <c r="AB57" s="720">
        <f t="shared" si="14"/>
        <v>-4408.3039847692908</v>
      </c>
      <c r="AC57" s="720">
        <f t="shared" si="14"/>
        <v>-4224.6246520705699</v>
      </c>
      <c r="AD57" s="720">
        <f t="shared" si="14"/>
        <v>-4040.9453193718514</v>
      </c>
      <c r="AE57" s="720">
        <f t="shared" si="14"/>
        <v>-3857.2659866731292</v>
      </c>
      <c r="AF57" s="720">
        <f t="shared" si="14"/>
        <v>-3673.5866539744088</v>
      </c>
      <c r="AG57" s="720">
        <f t="shared" si="14"/>
        <v>-3489.9073212756898</v>
      </c>
      <c r="AH57" s="720">
        <f t="shared" si="14"/>
        <v>-3306.2279885769672</v>
      </c>
      <c r="AI57" s="720">
        <f t="shared" si="14"/>
        <v>-3122.5486558782477</v>
      </c>
      <c r="AJ57" s="720">
        <f t="shared" si="14"/>
        <v>-2938.8693231795269</v>
      </c>
      <c r="AK57" s="720">
        <f t="shared" si="14"/>
        <v>-2755.1899904808065</v>
      </c>
      <c r="AL57" s="720">
        <f t="shared" si="14"/>
        <v>-2571.510657782087</v>
      </c>
      <c r="AM57" s="720">
        <f t="shared" si="14"/>
        <v>-2387.8313250833662</v>
      </c>
      <c r="AN57" s="720">
        <f t="shared" si="14"/>
        <v>-2204.1519923846454</v>
      </c>
      <c r="AO57" s="720">
        <f t="shared" si="14"/>
        <v>-2020.4726596859257</v>
      </c>
      <c r="AP57" s="720">
        <f t="shared" si="14"/>
        <v>-1836.7933269872044</v>
      </c>
      <c r="AQ57" s="720">
        <f t="shared" si="14"/>
        <v>-1653.1139942884836</v>
      </c>
      <c r="AR57" s="720">
        <f t="shared" ref="AR57:AU57" si="15">AR55-AR56</f>
        <v>-1469.4346615897634</v>
      </c>
      <c r="AS57" s="720">
        <f t="shared" si="15"/>
        <v>-1285.7553288910435</v>
      </c>
      <c r="AT57" s="720">
        <f t="shared" si="15"/>
        <v>-1102.0759961923227</v>
      </c>
      <c r="AU57" s="721">
        <f t="shared" si="15"/>
        <v>-918.3966634936022</v>
      </c>
    </row>
    <row r="58" spans="1:47" outlineLevel="1" x14ac:dyDescent="0.25">
      <c r="B58" s="696" t="s">
        <v>920</v>
      </c>
      <c r="C58" s="726"/>
      <c r="D58" s="726"/>
      <c r="E58" s="726"/>
      <c r="F58" s="726"/>
      <c r="G58" s="726"/>
      <c r="H58" s="726"/>
      <c r="I58" s="726"/>
      <c r="J58" s="726"/>
      <c r="K58" s="726"/>
      <c r="L58" s="726"/>
      <c r="M58" s="726"/>
      <c r="N58" s="726"/>
      <c r="O58" s="726"/>
      <c r="P58" s="726"/>
      <c r="Q58" s="726"/>
      <c r="R58" s="726"/>
      <c r="S58" s="726"/>
      <c r="T58" s="726"/>
      <c r="U58" s="726"/>
      <c r="V58" s="726"/>
      <c r="W58" s="726"/>
      <c r="X58" s="726"/>
      <c r="Y58" s="726"/>
      <c r="Z58" s="726"/>
      <c r="AA58" s="726"/>
      <c r="AB58" s="726"/>
      <c r="AC58" s="726"/>
      <c r="AD58" s="726"/>
      <c r="AE58" s="726"/>
      <c r="AF58" s="726"/>
      <c r="AG58" s="726"/>
      <c r="AH58" s="726"/>
      <c r="AI58" s="726"/>
      <c r="AJ58" s="726"/>
      <c r="AK58" s="726"/>
      <c r="AL58" s="726"/>
      <c r="AM58" s="726"/>
      <c r="AN58" s="726"/>
      <c r="AO58" s="726"/>
      <c r="AP58" s="726"/>
      <c r="AQ58" s="726"/>
      <c r="AR58" s="726"/>
      <c r="AS58" s="726"/>
      <c r="AT58" s="726"/>
      <c r="AU58" s="424"/>
    </row>
    <row r="59" spans="1:47" s="15" customFormat="1" ht="13.5" outlineLevel="1" x14ac:dyDescent="0.25">
      <c r="B59" s="727" t="s">
        <v>921</v>
      </c>
      <c r="C59" s="724"/>
      <c r="D59" s="724"/>
      <c r="E59" s="724"/>
      <c r="F59" s="724"/>
      <c r="G59" s="724"/>
      <c r="H59" s="724"/>
      <c r="I59" s="724"/>
      <c r="J59" s="724"/>
      <c r="K59" s="724"/>
      <c r="L59" s="724"/>
      <c r="M59" s="724"/>
      <c r="N59" s="724"/>
      <c r="O59" s="724"/>
      <c r="P59" s="724"/>
      <c r="Q59" s="724"/>
      <c r="R59" s="724"/>
      <c r="S59" s="724"/>
      <c r="T59" s="724"/>
      <c r="U59" s="724"/>
      <c r="V59" s="724"/>
      <c r="W59" s="724"/>
      <c r="X59" s="724"/>
      <c r="Y59" s="724"/>
      <c r="Z59" s="724"/>
      <c r="AA59" s="724"/>
      <c r="AB59" s="724"/>
      <c r="AC59" s="724"/>
      <c r="AD59" s="724"/>
      <c r="AE59" s="724"/>
      <c r="AF59" s="724"/>
      <c r="AG59" s="724"/>
      <c r="AH59" s="724"/>
      <c r="AI59" s="724"/>
      <c r="AJ59" s="724"/>
      <c r="AK59" s="724"/>
      <c r="AL59" s="724"/>
      <c r="AM59" s="724"/>
      <c r="AN59" s="724"/>
      <c r="AO59" s="724"/>
      <c r="AP59" s="724"/>
      <c r="AQ59" s="724"/>
      <c r="AR59" s="724"/>
      <c r="AS59" s="724"/>
      <c r="AT59" s="724"/>
      <c r="AU59" s="725"/>
    </row>
    <row r="60" spans="1:47" s="15" customFormat="1" ht="13.5" outlineLevel="1" x14ac:dyDescent="0.25">
      <c r="B60" s="728" t="s">
        <v>922</v>
      </c>
      <c r="C60" s="724">
        <f>C$53*$K$19/1000*$H$19</f>
        <v>1516.3651403860322</v>
      </c>
      <c r="D60" s="724">
        <f>D$53*$K$19/1000*$H$19</f>
        <v>3032.7302807720644</v>
      </c>
      <c r="E60" s="724">
        <f t="shared" ref="E60:AU60" si="16">E$53*$K$19/1000*$H$19</f>
        <v>4549.0954211580975</v>
      </c>
      <c r="F60" s="724">
        <f t="shared" si="16"/>
        <v>6065.4605615441287</v>
      </c>
      <c r="G60" s="724">
        <f t="shared" si="16"/>
        <v>7581.8257019301609</v>
      </c>
      <c r="H60" s="724">
        <f t="shared" si="16"/>
        <v>9098.1908423161949</v>
      </c>
      <c r="I60" s="724">
        <f t="shared" si="16"/>
        <v>10614.555982702226</v>
      </c>
      <c r="J60" s="724">
        <f t="shared" si="16"/>
        <v>12130.921123088257</v>
      </c>
      <c r="K60" s="724">
        <f t="shared" si="16"/>
        <v>13647.286263474291</v>
      </c>
      <c r="L60" s="724">
        <f t="shared" si="16"/>
        <v>15163.651403860322</v>
      </c>
      <c r="M60" s="724">
        <f t="shared" si="16"/>
        <v>16680.016544246355</v>
      </c>
      <c r="N60" s="724">
        <f t="shared" si="16"/>
        <v>18196.38168463239</v>
      </c>
      <c r="O60" s="724">
        <f t="shared" si="16"/>
        <v>19712.746825018417</v>
      </c>
      <c r="P60" s="724">
        <f t="shared" si="16"/>
        <v>21229.111965404452</v>
      </c>
      <c r="Q60" s="724">
        <f t="shared" si="16"/>
        <v>22745.477105790484</v>
      </c>
      <c r="R60" s="724">
        <f t="shared" si="16"/>
        <v>24261.842246176515</v>
      </c>
      <c r="S60" s="724">
        <f t="shared" si="16"/>
        <v>25778.20738656255</v>
      </c>
      <c r="T60" s="724">
        <f t="shared" si="16"/>
        <v>27294.572526948581</v>
      </c>
      <c r="U60" s="724">
        <f t="shared" si="16"/>
        <v>28810.937667334616</v>
      </c>
      <c r="V60" s="724">
        <f t="shared" si="16"/>
        <v>30327.302807720644</v>
      </c>
      <c r="W60" s="724">
        <f t="shared" si="16"/>
        <v>31843.667948106679</v>
      </c>
      <c r="X60" s="724">
        <f t="shared" si="16"/>
        <v>33360.03308849271</v>
      </c>
      <c r="Y60" s="724">
        <f t="shared" si="16"/>
        <v>34876.398228878745</v>
      </c>
      <c r="Z60" s="724">
        <f t="shared" si="16"/>
        <v>36392.76336926478</v>
      </c>
      <c r="AA60" s="724">
        <f t="shared" si="16"/>
        <v>37909.128509650807</v>
      </c>
      <c r="AB60" s="724">
        <f t="shared" si="16"/>
        <v>36392.76336926478</v>
      </c>
      <c r="AC60" s="724">
        <f t="shared" si="16"/>
        <v>34876.398228878745</v>
      </c>
      <c r="AD60" s="724">
        <f t="shared" si="16"/>
        <v>33360.03308849271</v>
      </c>
      <c r="AE60" s="724">
        <f t="shared" si="16"/>
        <v>31843.667948106679</v>
      </c>
      <c r="AF60" s="724">
        <f t="shared" si="16"/>
        <v>30327.302807720644</v>
      </c>
      <c r="AG60" s="724">
        <f t="shared" si="16"/>
        <v>28810.937667334616</v>
      </c>
      <c r="AH60" s="724">
        <f t="shared" si="16"/>
        <v>27294.572526948581</v>
      </c>
      <c r="AI60" s="724">
        <f t="shared" si="16"/>
        <v>25778.20738656255</v>
      </c>
      <c r="AJ60" s="724">
        <f t="shared" si="16"/>
        <v>24261.842246176515</v>
      </c>
      <c r="AK60" s="724">
        <f t="shared" si="16"/>
        <v>22745.477105790484</v>
      </c>
      <c r="AL60" s="724">
        <f t="shared" si="16"/>
        <v>21229.111965404452</v>
      </c>
      <c r="AM60" s="724">
        <f t="shared" si="16"/>
        <v>19712.746825018417</v>
      </c>
      <c r="AN60" s="724">
        <f t="shared" si="16"/>
        <v>18196.38168463239</v>
      </c>
      <c r="AO60" s="724">
        <f t="shared" si="16"/>
        <v>16680.016544246355</v>
      </c>
      <c r="AP60" s="724">
        <f t="shared" si="16"/>
        <v>15163.651403860322</v>
      </c>
      <c r="AQ60" s="724">
        <f t="shared" si="16"/>
        <v>13647.286263474291</v>
      </c>
      <c r="AR60" s="724">
        <f t="shared" si="16"/>
        <v>12130.921123088257</v>
      </c>
      <c r="AS60" s="724">
        <f t="shared" si="16"/>
        <v>10614.555982702226</v>
      </c>
      <c r="AT60" s="724">
        <f t="shared" si="16"/>
        <v>9098.1908423161949</v>
      </c>
      <c r="AU60" s="725">
        <f t="shared" si="16"/>
        <v>7581.8257019301609</v>
      </c>
    </row>
    <row r="61" spans="1:47" s="15" customFormat="1" ht="13.5" outlineLevel="1" x14ac:dyDescent="0.25">
      <c r="B61" s="728" t="s">
        <v>923</v>
      </c>
      <c r="C61" s="724">
        <f>C$53*$M$19/1000*$H$19</f>
        <v>1186.9389140190478</v>
      </c>
      <c r="D61" s="724">
        <f>D$53*$M$19/1000*$H$19</f>
        <v>2373.8778280380957</v>
      </c>
      <c r="E61" s="724">
        <f t="shared" ref="E61:AU61" si="17">E$53*$M$19/1000*$H$19</f>
        <v>3560.816742057144</v>
      </c>
      <c r="F61" s="724">
        <f t="shared" si="17"/>
        <v>4747.7556560761914</v>
      </c>
      <c r="G61" s="724">
        <f t="shared" si="17"/>
        <v>5934.6945700952401</v>
      </c>
      <c r="H61" s="724">
        <f t="shared" si="17"/>
        <v>7121.633484114288</v>
      </c>
      <c r="I61" s="724">
        <f t="shared" si="17"/>
        <v>8308.5723981333358</v>
      </c>
      <c r="J61" s="724">
        <f t="shared" si="17"/>
        <v>9495.5113121523827</v>
      </c>
      <c r="K61" s="724">
        <f t="shared" si="17"/>
        <v>10682.450226171431</v>
      </c>
      <c r="L61" s="724">
        <f t="shared" si="17"/>
        <v>11869.38914019048</v>
      </c>
      <c r="M61" s="724">
        <f t="shared" si="17"/>
        <v>13056.328054209525</v>
      </c>
      <c r="N61" s="724">
        <f t="shared" si="17"/>
        <v>14243.266968228576</v>
      </c>
      <c r="O61" s="724">
        <f t="shared" si="17"/>
        <v>15430.205882247621</v>
      </c>
      <c r="P61" s="724">
        <f t="shared" si="17"/>
        <v>16617.144796266672</v>
      </c>
      <c r="Q61" s="724">
        <f t="shared" si="17"/>
        <v>17804.083710285719</v>
      </c>
      <c r="R61" s="724">
        <f t="shared" si="17"/>
        <v>18991.022624304765</v>
      </c>
      <c r="S61" s="724">
        <f t="shared" si="17"/>
        <v>20177.961538323816</v>
      </c>
      <c r="T61" s="724">
        <f t="shared" si="17"/>
        <v>21364.900452342863</v>
      </c>
      <c r="U61" s="724">
        <f t="shared" si="17"/>
        <v>22551.83936636191</v>
      </c>
      <c r="V61" s="724">
        <f t="shared" si="17"/>
        <v>23738.77828038096</v>
      </c>
      <c r="W61" s="724">
        <f t="shared" si="17"/>
        <v>24925.717194400007</v>
      </c>
      <c r="X61" s="724">
        <f t="shared" si="17"/>
        <v>26112.656108419051</v>
      </c>
      <c r="Y61" s="724">
        <f t="shared" si="17"/>
        <v>27299.595022438105</v>
      </c>
      <c r="Z61" s="724">
        <f t="shared" si="17"/>
        <v>28486.533936457152</v>
      </c>
      <c r="AA61" s="724">
        <f t="shared" si="17"/>
        <v>29673.472850476195</v>
      </c>
      <c r="AB61" s="724">
        <f t="shared" si="17"/>
        <v>28486.533936457152</v>
      </c>
      <c r="AC61" s="724">
        <f t="shared" si="17"/>
        <v>27299.595022438105</v>
      </c>
      <c r="AD61" s="724">
        <f t="shared" si="17"/>
        <v>26112.656108419051</v>
      </c>
      <c r="AE61" s="724">
        <f t="shared" si="17"/>
        <v>24925.717194400007</v>
      </c>
      <c r="AF61" s="724">
        <f t="shared" si="17"/>
        <v>23738.77828038096</v>
      </c>
      <c r="AG61" s="724">
        <f t="shared" si="17"/>
        <v>22551.83936636191</v>
      </c>
      <c r="AH61" s="724">
        <f t="shared" si="17"/>
        <v>21364.900452342863</v>
      </c>
      <c r="AI61" s="724">
        <f t="shared" si="17"/>
        <v>20177.961538323816</v>
      </c>
      <c r="AJ61" s="724">
        <f t="shared" si="17"/>
        <v>18991.022624304765</v>
      </c>
      <c r="AK61" s="724">
        <f t="shared" si="17"/>
        <v>17804.083710285719</v>
      </c>
      <c r="AL61" s="724">
        <f t="shared" si="17"/>
        <v>16617.144796266672</v>
      </c>
      <c r="AM61" s="724">
        <f t="shared" si="17"/>
        <v>15430.205882247621</v>
      </c>
      <c r="AN61" s="724">
        <f t="shared" si="17"/>
        <v>14243.266968228576</v>
      </c>
      <c r="AO61" s="724">
        <f t="shared" si="17"/>
        <v>13056.328054209525</v>
      </c>
      <c r="AP61" s="724">
        <f t="shared" si="17"/>
        <v>11869.38914019048</v>
      </c>
      <c r="AQ61" s="724">
        <f t="shared" si="17"/>
        <v>10682.450226171431</v>
      </c>
      <c r="AR61" s="724">
        <f t="shared" si="17"/>
        <v>9495.5113121523827</v>
      </c>
      <c r="AS61" s="724">
        <f t="shared" si="17"/>
        <v>8308.5723981333358</v>
      </c>
      <c r="AT61" s="724">
        <f t="shared" si="17"/>
        <v>7121.633484114288</v>
      </c>
      <c r="AU61" s="725">
        <f t="shared" si="17"/>
        <v>5934.6945700952401</v>
      </c>
    </row>
    <row r="62" spans="1:47" s="15" customFormat="1" ht="13.5" outlineLevel="1" x14ac:dyDescent="0.25">
      <c r="B62" s="728" t="s">
        <v>924</v>
      </c>
      <c r="C62" s="724">
        <f>C$53*$J$19/1000*$H$19</f>
        <v>2789.1371903441272</v>
      </c>
      <c r="D62" s="724">
        <f>D$53*$J$19/1000*$H$19</f>
        <v>5578.2743806882545</v>
      </c>
      <c r="E62" s="724">
        <f t="shared" ref="E62:AU62" si="18">E$53*$J$19/1000*$H$19</f>
        <v>8367.4115710323822</v>
      </c>
      <c r="F62" s="724">
        <f t="shared" si="18"/>
        <v>11156.548761376509</v>
      </c>
      <c r="G62" s="724">
        <f t="shared" si="18"/>
        <v>13945.685951720638</v>
      </c>
      <c r="H62" s="724">
        <f t="shared" si="18"/>
        <v>16734.823142064764</v>
      </c>
      <c r="I62" s="724">
        <f t="shared" si="18"/>
        <v>19523.960332408897</v>
      </c>
      <c r="J62" s="724">
        <f t="shared" si="18"/>
        <v>22313.097522753018</v>
      </c>
      <c r="K62" s="724">
        <f t="shared" si="18"/>
        <v>25102.234713097147</v>
      </c>
      <c r="L62" s="724">
        <f t="shared" si="18"/>
        <v>27891.371903441275</v>
      </c>
      <c r="M62" s="724">
        <f t="shared" si="18"/>
        <v>30680.509093785404</v>
      </c>
      <c r="N62" s="724">
        <f t="shared" si="18"/>
        <v>33469.646284129529</v>
      </c>
      <c r="O62" s="724">
        <f t="shared" si="18"/>
        <v>36258.783474473661</v>
      </c>
      <c r="P62" s="724">
        <f t="shared" si="18"/>
        <v>39047.920664817793</v>
      </c>
      <c r="Q62" s="724">
        <f t="shared" si="18"/>
        <v>41837.057855161911</v>
      </c>
      <c r="R62" s="724">
        <f t="shared" si="18"/>
        <v>44626.195045506036</v>
      </c>
      <c r="S62" s="724">
        <f t="shared" si="18"/>
        <v>47415.332235850168</v>
      </c>
      <c r="T62" s="724">
        <f t="shared" si="18"/>
        <v>50204.469426194293</v>
      </c>
      <c r="U62" s="724">
        <f t="shared" si="18"/>
        <v>52993.606616538425</v>
      </c>
      <c r="V62" s="724">
        <f t="shared" si="18"/>
        <v>55782.74380688255</v>
      </c>
      <c r="W62" s="724">
        <f t="shared" si="18"/>
        <v>58571.880997226675</v>
      </c>
      <c r="X62" s="724">
        <f t="shared" si="18"/>
        <v>61361.018187570808</v>
      </c>
      <c r="Y62" s="724">
        <f t="shared" si="18"/>
        <v>64150.155377914933</v>
      </c>
      <c r="Z62" s="724">
        <f t="shared" si="18"/>
        <v>66939.292568259058</v>
      </c>
      <c r="AA62" s="724">
        <f t="shared" si="18"/>
        <v>69728.429758603175</v>
      </c>
      <c r="AB62" s="724">
        <f t="shared" si="18"/>
        <v>66939.292568259058</v>
      </c>
      <c r="AC62" s="724">
        <f t="shared" si="18"/>
        <v>64150.155377914933</v>
      </c>
      <c r="AD62" s="724">
        <f t="shared" si="18"/>
        <v>61361.018187570808</v>
      </c>
      <c r="AE62" s="724">
        <f t="shared" si="18"/>
        <v>58571.880997226675</v>
      </c>
      <c r="AF62" s="724">
        <f t="shared" si="18"/>
        <v>55782.74380688255</v>
      </c>
      <c r="AG62" s="724">
        <f t="shared" si="18"/>
        <v>52993.606616538425</v>
      </c>
      <c r="AH62" s="724">
        <f t="shared" si="18"/>
        <v>50204.469426194293</v>
      </c>
      <c r="AI62" s="724">
        <f t="shared" si="18"/>
        <v>47415.332235850168</v>
      </c>
      <c r="AJ62" s="724">
        <f t="shared" si="18"/>
        <v>44626.195045506036</v>
      </c>
      <c r="AK62" s="724">
        <f t="shared" si="18"/>
        <v>41837.057855161911</v>
      </c>
      <c r="AL62" s="724">
        <f t="shared" si="18"/>
        <v>39047.920664817793</v>
      </c>
      <c r="AM62" s="724">
        <f t="shared" si="18"/>
        <v>36258.783474473661</v>
      </c>
      <c r="AN62" s="724">
        <f t="shared" si="18"/>
        <v>33469.646284129529</v>
      </c>
      <c r="AO62" s="724">
        <f t="shared" si="18"/>
        <v>30680.509093785404</v>
      </c>
      <c r="AP62" s="724">
        <f t="shared" si="18"/>
        <v>27891.371903441275</v>
      </c>
      <c r="AQ62" s="724">
        <f t="shared" si="18"/>
        <v>25102.234713097147</v>
      </c>
      <c r="AR62" s="724">
        <f t="shared" si="18"/>
        <v>22313.097522753018</v>
      </c>
      <c r="AS62" s="724">
        <f t="shared" si="18"/>
        <v>19523.960332408897</v>
      </c>
      <c r="AT62" s="724">
        <f t="shared" si="18"/>
        <v>16734.823142064764</v>
      </c>
      <c r="AU62" s="725">
        <f t="shared" si="18"/>
        <v>13945.685951720638</v>
      </c>
    </row>
    <row r="63" spans="1:47" s="15" customFormat="1" ht="13.5" outlineLevel="1" x14ac:dyDescent="0.25">
      <c r="B63" s="728" t="s">
        <v>925</v>
      </c>
      <c r="C63" s="724">
        <f>C$53*$L$19/1000*$H$19</f>
        <v>1314.9551549130158</v>
      </c>
      <c r="D63" s="724">
        <f>D$53*$L$19/1000*$H$19</f>
        <v>2629.9103098260316</v>
      </c>
      <c r="E63" s="724">
        <f t="shared" ref="E63:AU63" si="19">E$53*$L$19/1000*$H$19</f>
        <v>3944.8654647390481</v>
      </c>
      <c r="F63" s="724">
        <f t="shared" si="19"/>
        <v>5259.8206196520632</v>
      </c>
      <c r="G63" s="724">
        <f t="shared" si="19"/>
        <v>6574.7757745650788</v>
      </c>
      <c r="H63" s="724">
        <f t="shared" si="19"/>
        <v>7889.7309294780962</v>
      </c>
      <c r="I63" s="724">
        <f t="shared" si="19"/>
        <v>9204.6860843911109</v>
      </c>
      <c r="J63" s="724">
        <f t="shared" si="19"/>
        <v>10519.641239304126</v>
      </c>
      <c r="K63" s="724">
        <f t="shared" si="19"/>
        <v>11834.596394217144</v>
      </c>
      <c r="L63" s="724">
        <f t="shared" si="19"/>
        <v>13149.551549130158</v>
      </c>
      <c r="M63" s="724">
        <f t="shared" si="19"/>
        <v>14464.506704043173</v>
      </c>
      <c r="N63" s="724">
        <f t="shared" si="19"/>
        <v>15779.461858956192</v>
      </c>
      <c r="O63" s="724">
        <f t="shared" si="19"/>
        <v>17094.417013869206</v>
      </c>
      <c r="P63" s="724">
        <f t="shared" si="19"/>
        <v>18409.372168782222</v>
      </c>
      <c r="Q63" s="724">
        <f t="shared" si="19"/>
        <v>19724.327323695237</v>
      </c>
      <c r="R63" s="724">
        <f t="shared" si="19"/>
        <v>21039.282478608253</v>
      </c>
      <c r="S63" s="724">
        <f t="shared" si="19"/>
        <v>22354.237633521268</v>
      </c>
      <c r="T63" s="724">
        <f t="shared" si="19"/>
        <v>23669.192788434288</v>
      </c>
      <c r="U63" s="724">
        <f t="shared" si="19"/>
        <v>24984.1479433473</v>
      </c>
      <c r="V63" s="724">
        <f t="shared" si="19"/>
        <v>26299.103098260315</v>
      </c>
      <c r="W63" s="724">
        <f t="shared" si="19"/>
        <v>27614.058253173334</v>
      </c>
      <c r="X63" s="724">
        <f t="shared" si="19"/>
        <v>28929.013408086346</v>
      </c>
      <c r="Y63" s="724">
        <f t="shared" si="19"/>
        <v>30243.968562999366</v>
      </c>
      <c r="Z63" s="724">
        <f t="shared" si="19"/>
        <v>31558.923717912385</v>
      </c>
      <c r="AA63" s="724">
        <f t="shared" si="19"/>
        <v>32873.878872825393</v>
      </c>
      <c r="AB63" s="724">
        <f t="shared" si="19"/>
        <v>31558.923717912385</v>
      </c>
      <c r="AC63" s="724">
        <f t="shared" si="19"/>
        <v>30243.968562999366</v>
      </c>
      <c r="AD63" s="724">
        <f t="shared" si="19"/>
        <v>28929.013408086346</v>
      </c>
      <c r="AE63" s="724">
        <f t="shared" si="19"/>
        <v>27614.058253173334</v>
      </c>
      <c r="AF63" s="724">
        <f t="shared" si="19"/>
        <v>26299.103098260315</v>
      </c>
      <c r="AG63" s="724">
        <f t="shared" si="19"/>
        <v>24984.1479433473</v>
      </c>
      <c r="AH63" s="724">
        <f t="shared" si="19"/>
        <v>23669.192788434288</v>
      </c>
      <c r="AI63" s="724">
        <f t="shared" si="19"/>
        <v>22354.237633521268</v>
      </c>
      <c r="AJ63" s="724">
        <f t="shared" si="19"/>
        <v>21039.282478608253</v>
      </c>
      <c r="AK63" s="724">
        <f t="shared" si="19"/>
        <v>19724.327323695237</v>
      </c>
      <c r="AL63" s="724">
        <f t="shared" si="19"/>
        <v>18409.372168782222</v>
      </c>
      <c r="AM63" s="724">
        <f t="shared" si="19"/>
        <v>17094.417013869206</v>
      </c>
      <c r="AN63" s="724">
        <f t="shared" si="19"/>
        <v>15779.461858956192</v>
      </c>
      <c r="AO63" s="724">
        <f t="shared" si="19"/>
        <v>14464.506704043173</v>
      </c>
      <c r="AP63" s="724">
        <f t="shared" si="19"/>
        <v>13149.551549130158</v>
      </c>
      <c r="AQ63" s="724">
        <f t="shared" si="19"/>
        <v>11834.596394217144</v>
      </c>
      <c r="AR63" s="724">
        <f t="shared" si="19"/>
        <v>10519.641239304126</v>
      </c>
      <c r="AS63" s="724">
        <f t="shared" si="19"/>
        <v>9204.6860843911109</v>
      </c>
      <c r="AT63" s="724">
        <f t="shared" si="19"/>
        <v>7889.7309294780962</v>
      </c>
      <c r="AU63" s="725">
        <f t="shared" si="19"/>
        <v>6574.7757745650788</v>
      </c>
    </row>
    <row r="64" spans="1:47" s="15" customFormat="1" ht="13.5" outlineLevel="1" x14ac:dyDescent="0.25">
      <c r="B64" s="727" t="s">
        <v>926</v>
      </c>
      <c r="C64" s="724"/>
      <c r="D64" s="724"/>
      <c r="E64" s="724"/>
      <c r="F64" s="724"/>
      <c r="G64" s="724"/>
      <c r="H64" s="724"/>
      <c r="I64" s="724"/>
      <c r="J64" s="724"/>
      <c r="K64" s="724"/>
      <c r="L64" s="724"/>
      <c r="M64" s="724"/>
      <c r="N64" s="724"/>
      <c r="O64" s="724"/>
      <c r="P64" s="724"/>
      <c r="Q64" s="724"/>
      <c r="R64" s="724"/>
      <c r="S64" s="724"/>
      <c r="T64" s="724"/>
      <c r="U64" s="724"/>
      <c r="V64" s="724"/>
      <c r="W64" s="724"/>
      <c r="X64" s="724"/>
      <c r="Y64" s="724"/>
      <c r="Z64" s="724"/>
      <c r="AA64" s="724"/>
      <c r="AB64" s="724"/>
      <c r="AC64" s="724"/>
      <c r="AD64" s="724"/>
      <c r="AE64" s="724"/>
      <c r="AF64" s="724"/>
      <c r="AG64" s="724"/>
      <c r="AH64" s="724"/>
      <c r="AI64" s="724"/>
      <c r="AJ64" s="724"/>
      <c r="AK64" s="724"/>
      <c r="AL64" s="724"/>
      <c r="AM64" s="724"/>
      <c r="AN64" s="724"/>
      <c r="AO64" s="724"/>
      <c r="AP64" s="724"/>
      <c r="AQ64" s="724"/>
      <c r="AR64" s="724"/>
      <c r="AS64" s="724"/>
      <c r="AT64" s="724"/>
      <c r="AU64" s="725"/>
    </row>
    <row r="65" spans="2:47" s="15" customFormat="1" ht="13.5" outlineLevel="1" x14ac:dyDescent="0.25">
      <c r="B65" s="728" t="s">
        <v>922</v>
      </c>
      <c r="C65" s="724">
        <f>C$53*$K$19/1000*(1-$H$19)</f>
        <v>220.56220223796785</v>
      </c>
      <c r="D65" s="724">
        <f>D$53*$K$19/1000*(1-$H$19)</f>
        <v>441.12440447593571</v>
      </c>
      <c r="E65" s="724">
        <f t="shared" ref="E65:AU65" si="20">E$53*$K$19/1000*(1-$H$19)</f>
        <v>661.68660671390364</v>
      </c>
      <c r="F65" s="724">
        <f t="shared" si="20"/>
        <v>882.24880895187141</v>
      </c>
      <c r="G65" s="724">
        <f t="shared" si="20"/>
        <v>1102.8110111898393</v>
      </c>
      <c r="H65" s="724">
        <f t="shared" si="20"/>
        <v>1323.3732134278073</v>
      </c>
      <c r="I65" s="724">
        <f t="shared" si="20"/>
        <v>1543.9354156657753</v>
      </c>
      <c r="J65" s="724">
        <f t="shared" si="20"/>
        <v>1764.4976179037428</v>
      </c>
      <c r="K65" s="724">
        <f t="shared" si="20"/>
        <v>1985.0598201417108</v>
      </c>
      <c r="L65" s="724">
        <f t="shared" si="20"/>
        <v>2205.6220223796786</v>
      </c>
      <c r="M65" s="724">
        <f t="shared" si="20"/>
        <v>2426.1842246176466</v>
      </c>
      <c r="N65" s="724">
        <f t="shared" si="20"/>
        <v>2646.7464268556146</v>
      </c>
      <c r="O65" s="724">
        <f t="shared" si="20"/>
        <v>2867.3086290935821</v>
      </c>
      <c r="P65" s="724">
        <f t="shared" si="20"/>
        <v>3087.8708313315506</v>
      </c>
      <c r="Q65" s="724">
        <f t="shared" si="20"/>
        <v>3308.4330335695181</v>
      </c>
      <c r="R65" s="724">
        <f t="shared" si="20"/>
        <v>3528.9952358074856</v>
      </c>
      <c r="S65" s="724">
        <f t="shared" si="20"/>
        <v>3749.5574380454541</v>
      </c>
      <c r="T65" s="724">
        <f t="shared" si="20"/>
        <v>3970.1196402834216</v>
      </c>
      <c r="U65" s="724">
        <f t="shared" si="20"/>
        <v>4190.6818425213896</v>
      </c>
      <c r="V65" s="724">
        <f t="shared" si="20"/>
        <v>4411.2440447593572</v>
      </c>
      <c r="W65" s="724">
        <f t="shared" si="20"/>
        <v>4631.8062469973256</v>
      </c>
      <c r="X65" s="724">
        <f t="shared" si="20"/>
        <v>4852.3684492352932</v>
      </c>
      <c r="Y65" s="724">
        <f t="shared" si="20"/>
        <v>5072.9306514732616</v>
      </c>
      <c r="Z65" s="724">
        <f t="shared" si="20"/>
        <v>5293.4928537112291</v>
      </c>
      <c r="AA65" s="724">
        <f t="shared" si="20"/>
        <v>5514.0550559491967</v>
      </c>
      <c r="AB65" s="724">
        <f t="shared" si="20"/>
        <v>5293.4928537112291</v>
      </c>
      <c r="AC65" s="724">
        <f t="shared" si="20"/>
        <v>5072.9306514732616</v>
      </c>
      <c r="AD65" s="724">
        <f t="shared" si="20"/>
        <v>4852.3684492352932</v>
      </c>
      <c r="AE65" s="724">
        <f t="shared" si="20"/>
        <v>4631.8062469973256</v>
      </c>
      <c r="AF65" s="724">
        <f t="shared" si="20"/>
        <v>4411.2440447593572</v>
      </c>
      <c r="AG65" s="724">
        <f t="shared" si="20"/>
        <v>4190.6818425213896</v>
      </c>
      <c r="AH65" s="724">
        <f t="shared" si="20"/>
        <v>3970.1196402834216</v>
      </c>
      <c r="AI65" s="724">
        <f t="shared" si="20"/>
        <v>3749.5574380454541</v>
      </c>
      <c r="AJ65" s="724">
        <f t="shared" si="20"/>
        <v>3528.9952358074856</v>
      </c>
      <c r="AK65" s="724">
        <f t="shared" si="20"/>
        <v>3308.4330335695181</v>
      </c>
      <c r="AL65" s="724">
        <f t="shared" si="20"/>
        <v>3087.8708313315506</v>
      </c>
      <c r="AM65" s="724">
        <f t="shared" si="20"/>
        <v>2867.3086290935821</v>
      </c>
      <c r="AN65" s="724">
        <f t="shared" si="20"/>
        <v>2646.7464268556146</v>
      </c>
      <c r="AO65" s="724">
        <f t="shared" si="20"/>
        <v>2426.1842246176466</v>
      </c>
      <c r="AP65" s="724">
        <f t="shared" si="20"/>
        <v>2205.6220223796786</v>
      </c>
      <c r="AQ65" s="724">
        <f t="shared" si="20"/>
        <v>1985.0598201417108</v>
      </c>
      <c r="AR65" s="724">
        <f t="shared" si="20"/>
        <v>1764.4976179037428</v>
      </c>
      <c r="AS65" s="724">
        <f t="shared" si="20"/>
        <v>1543.9354156657753</v>
      </c>
      <c r="AT65" s="724">
        <f t="shared" si="20"/>
        <v>1323.3732134278073</v>
      </c>
      <c r="AU65" s="725">
        <f t="shared" si="20"/>
        <v>1102.8110111898393</v>
      </c>
    </row>
    <row r="66" spans="2:47" s="15" customFormat="1" ht="13.5" outlineLevel="1" x14ac:dyDescent="0.25">
      <c r="B66" s="728" t="s">
        <v>923</v>
      </c>
      <c r="C66" s="724">
        <f>C$53*$M$19/1000*(1-$H$19)</f>
        <v>172.64566022095207</v>
      </c>
      <c r="D66" s="724">
        <f>D$53*$M$19/1000*(1-$H$19)</f>
        <v>345.29132044190413</v>
      </c>
      <c r="E66" s="724">
        <f t="shared" ref="E66:AU66" si="21">E$53*$M$19/1000*(1-$H$19)</f>
        <v>517.93698066285617</v>
      </c>
      <c r="F66" s="724">
        <f t="shared" si="21"/>
        <v>690.58264088380827</v>
      </c>
      <c r="G66" s="724">
        <f t="shared" si="21"/>
        <v>863.22830110476036</v>
      </c>
      <c r="H66" s="724">
        <f t="shared" si="21"/>
        <v>1035.8739613257123</v>
      </c>
      <c r="I66" s="724">
        <f t="shared" si="21"/>
        <v>1208.5196215466644</v>
      </c>
      <c r="J66" s="724">
        <f t="shared" si="21"/>
        <v>1381.1652817676165</v>
      </c>
      <c r="K66" s="724">
        <f t="shared" si="21"/>
        <v>1553.8109419885686</v>
      </c>
      <c r="L66" s="724">
        <f t="shared" si="21"/>
        <v>1726.4566022095207</v>
      </c>
      <c r="M66" s="724">
        <f t="shared" si="21"/>
        <v>1899.1022624304726</v>
      </c>
      <c r="N66" s="724">
        <f t="shared" si="21"/>
        <v>2071.7479226514247</v>
      </c>
      <c r="O66" s="724">
        <f t="shared" si="21"/>
        <v>2244.3935828723766</v>
      </c>
      <c r="P66" s="724">
        <f t="shared" si="21"/>
        <v>2417.0392430933289</v>
      </c>
      <c r="Q66" s="724">
        <f t="shared" si="21"/>
        <v>2589.6849033142812</v>
      </c>
      <c r="R66" s="724">
        <f t="shared" si="21"/>
        <v>2762.3305635352331</v>
      </c>
      <c r="S66" s="724">
        <f t="shared" si="21"/>
        <v>2934.9762237561854</v>
      </c>
      <c r="T66" s="724">
        <f t="shared" si="21"/>
        <v>3107.6218839771373</v>
      </c>
      <c r="U66" s="724">
        <f t="shared" si="21"/>
        <v>3280.2675441980891</v>
      </c>
      <c r="V66" s="724">
        <f t="shared" si="21"/>
        <v>3452.9132044190414</v>
      </c>
      <c r="W66" s="724">
        <f t="shared" si="21"/>
        <v>3625.5588646399933</v>
      </c>
      <c r="X66" s="724">
        <f t="shared" si="21"/>
        <v>3798.2045248609452</v>
      </c>
      <c r="Y66" s="724">
        <f t="shared" si="21"/>
        <v>3970.850185081898</v>
      </c>
      <c r="Z66" s="724">
        <f t="shared" si="21"/>
        <v>4143.4958453028494</v>
      </c>
      <c r="AA66" s="724">
        <f t="shared" si="21"/>
        <v>4316.1415055238012</v>
      </c>
      <c r="AB66" s="724">
        <f t="shared" si="21"/>
        <v>4143.4958453028494</v>
      </c>
      <c r="AC66" s="724">
        <f t="shared" si="21"/>
        <v>3970.850185081898</v>
      </c>
      <c r="AD66" s="724">
        <f t="shared" si="21"/>
        <v>3798.2045248609452</v>
      </c>
      <c r="AE66" s="724">
        <f t="shared" si="21"/>
        <v>3625.5588646399933</v>
      </c>
      <c r="AF66" s="724">
        <f t="shared" si="21"/>
        <v>3452.9132044190414</v>
      </c>
      <c r="AG66" s="724">
        <f t="shared" si="21"/>
        <v>3280.2675441980891</v>
      </c>
      <c r="AH66" s="724">
        <f t="shared" si="21"/>
        <v>3107.6218839771373</v>
      </c>
      <c r="AI66" s="724">
        <f t="shared" si="21"/>
        <v>2934.9762237561854</v>
      </c>
      <c r="AJ66" s="724">
        <f t="shared" si="21"/>
        <v>2762.3305635352331</v>
      </c>
      <c r="AK66" s="724">
        <f t="shared" si="21"/>
        <v>2589.6849033142812</v>
      </c>
      <c r="AL66" s="724">
        <f t="shared" si="21"/>
        <v>2417.0392430933289</v>
      </c>
      <c r="AM66" s="724">
        <f t="shared" si="21"/>
        <v>2244.3935828723766</v>
      </c>
      <c r="AN66" s="724">
        <f t="shared" si="21"/>
        <v>2071.7479226514247</v>
      </c>
      <c r="AO66" s="724">
        <f t="shared" si="21"/>
        <v>1899.1022624304726</v>
      </c>
      <c r="AP66" s="724">
        <f t="shared" si="21"/>
        <v>1726.4566022095207</v>
      </c>
      <c r="AQ66" s="724">
        <f t="shared" si="21"/>
        <v>1553.8109419885686</v>
      </c>
      <c r="AR66" s="724">
        <f t="shared" si="21"/>
        <v>1381.1652817676165</v>
      </c>
      <c r="AS66" s="724">
        <f t="shared" si="21"/>
        <v>1208.5196215466644</v>
      </c>
      <c r="AT66" s="724">
        <f t="shared" si="21"/>
        <v>1035.8739613257123</v>
      </c>
      <c r="AU66" s="725">
        <f t="shared" si="21"/>
        <v>863.22830110476036</v>
      </c>
    </row>
    <row r="67" spans="2:47" s="15" customFormat="1" ht="13.5" outlineLevel="1" x14ac:dyDescent="0.25">
      <c r="B67" s="728" t="s">
        <v>924</v>
      </c>
      <c r="C67" s="724">
        <f>C$53*$J$19/1000*(1-$H$19)</f>
        <v>405.69268223187225</v>
      </c>
      <c r="D67" s="724">
        <f>D$53*$J$19/1000*(1-$H$19)</f>
        <v>811.38536446374451</v>
      </c>
      <c r="E67" s="724">
        <f t="shared" ref="E67:AU67" si="22">E$53*$J$19/1000*(1-$H$19)</f>
        <v>1217.0780466956166</v>
      </c>
      <c r="F67" s="724">
        <f t="shared" si="22"/>
        <v>1622.770728927489</v>
      </c>
      <c r="G67" s="724">
        <f t="shared" si="22"/>
        <v>2028.4634111593612</v>
      </c>
      <c r="H67" s="724">
        <f t="shared" si="22"/>
        <v>2434.1560933912333</v>
      </c>
      <c r="I67" s="724">
        <f t="shared" si="22"/>
        <v>2839.8487756231061</v>
      </c>
      <c r="J67" s="724">
        <f t="shared" si="22"/>
        <v>3245.541457854978</v>
      </c>
      <c r="K67" s="724">
        <f t="shared" si="22"/>
        <v>3651.2341400868499</v>
      </c>
      <c r="L67" s="724">
        <f t="shared" si="22"/>
        <v>4056.9268223187223</v>
      </c>
      <c r="M67" s="724">
        <f t="shared" si="22"/>
        <v>4462.6195045505947</v>
      </c>
      <c r="N67" s="724">
        <f t="shared" si="22"/>
        <v>4868.3121867824666</v>
      </c>
      <c r="O67" s="724">
        <f t="shared" si="22"/>
        <v>5274.0048690143394</v>
      </c>
      <c r="P67" s="724">
        <f t="shared" si="22"/>
        <v>5679.6975512462122</v>
      </c>
      <c r="Q67" s="724">
        <f t="shared" si="22"/>
        <v>6085.3902334780842</v>
      </c>
      <c r="R67" s="724">
        <f t="shared" si="22"/>
        <v>6491.0829157099561</v>
      </c>
      <c r="S67" s="724">
        <f t="shared" si="22"/>
        <v>6896.7755979418289</v>
      </c>
      <c r="T67" s="724">
        <f t="shared" si="22"/>
        <v>7302.4682801736999</v>
      </c>
      <c r="U67" s="724">
        <f t="shared" si="22"/>
        <v>7708.1609624055727</v>
      </c>
      <c r="V67" s="724">
        <f t="shared" si="22"/>
        <v>8113.8536446374446</v>
      </c>
      <c r="W67" s="724">
        <f t="shared" si="22"/>
        <v>8519.5463268693165</v>
      </c>
      <c r="X67" s="724">
        <f t="shared" si="22"/>
        <v>8925.2390091011894</v>
      </c>
      <c r="Y67" s="724">
        <f t="shared" si="22"/>
        <v>9330.9316913330622</v>
      </c>
      <c r="Z67" s="724">
        <f t="shared" si="22"/>
        <v>9736.6243735649332</v>
      </c>
      <c r="AA67" s="724">
        <f t="shared" si="22"/>
        <v>10142.317055796806</v>
      </c>
      <c r="AB67" s="724">
        <f t="shared" si="22"/>
        <v>9736.6243735649332</v>
      </c>
      <c r="AC67" s="724">
        <f t="shared" si="22"/>
        <v>9330.9316913330622</v>
      </c>
      <c r="AD67" s="724">
        <f t="shared" si="22"/>
        <v>8925.2390091011894</v>
      </c>
      <c r="AE67" s="724">
        <f t="shared" si="22"/>
        <v>8519.5463268693165</v>
      </c>
      <c r="AF67" s="724">
        <f t="shared" si="22"/>
        <v>8113.8536446374446</v>
      </c>
      <c r="AG67" s="724">
        <f t="shared" si="22"/>
        <v>7708.1609624055727</v>
      </c>
      <c r="AH67" s="724">
        <f t="shared" si="22"/>
        <v>7302.4682801736999</v>
      </c>
      <c r="AI67" s="724">
        <f t="shared" si="22"/>
        <v>6896.7755979418289</v>
      </c>
      <c r="AJ67" s="724">
        <f t="shared" si="22"/>
        <v>6491.0829157099561</v>
      </c>
      <c r="AK67" s="724">
        <f t="shared" si="22"/>
        <v>6085.3902334780842</v>
      </c>
      <c r="AL67" s="724">
        <f t="shared" si="22"/>
        <v>5679.6975512462122</v>
      </c>
      <c r="AM67" s="724">
        <f t="shared" si="22"/>
        <v>5274.0048690143394</v>
      </c>
      <c r="AN67" s="724">
        <f t="shared" si="22"/>
        <v>4868.3121867824666</v>
      </c>
      <c r="AO67" s="724">
        <f t="shared" si="22"/>
        <v>4462.6195045505947</v>
      </c>
      <c r="AP67" s="724">
        <f t="shared" si="22"/>
        <v>4056.9268223187223</v>
      </c>
      <c r="AQ67" s="724">
        <f t="shared" si="22"/>
        <v>3651.2341400868499</v>
      </c>
      <c r="AR67" s="724">
        <f t="shared" si="22"/>
        <v>3245.541457854978</v>
      </c>
      <c r="AS67" s="724">
        <f t="shared" si="22"/>
        <v>2839.8487756231061</v>
      </c>
      <c r="AT67" s="724">
        <f t="shared" si="22"/>
        <v>2434.1560933912333</v>
      </c>
      <c r="AU67" s="725">
        <f t="shared" si="22"/>
        <v>2028.4634111593612</v>
      </c>
    </row>
    <row r="68" spans="2:47" s="15" customFormat="1" ht="13.5" outlineLevel="1" x14ac:dyDescent="0.25">
      <c r="B68" s="728" t="s">
        <v>925</v>
      </c>
      <c r="C68" s="724">
        <f>C$53*$L$19/1000*(1-$H$19)</f>
        <v>191.26620435098374</v>
      </c>
      <c r="D68" s="724">
        <f>D$53*$L$19/1000*(1-$H$19)</f>
        <v>382.53240870196748</v>
      </c>
      <c r="E68" s="724">
        <f t="shared" ref="E68:AU68" si="23">E$53*$L$19/1000*(1-$H$19)</f>
        <v>573.79861305295128</v>
      </c>
      <c r="F68" s="724">
        <f t="shared" si="23"/>
        <v>765.06481740393497</v>
      </c>
      <c r="G68" s="724">
        <f t="shared" si="23"/>
        <v>956.33102175491865</v>
      </c>
      <c r="H68" s="724">
        <f t="shared" si="23"/>
        <v>1147.5972261059026</v>
      </c>
      <c r="I68" s="724">
        <f t="shared" si="23"/>
        <v>1338.8634304568861</v>
      </c>
      <c r="J68" s="724">
        <f t="shared" si="23"/>
        <v>1530.1296348078699</v>
      </c>
      <c r="K68" s="724">
        <f t="shared" si="23"/>
        <v>1721.3958391588537</v>
      </c>
      <c r="L68" s="724">
        <f t="shared" si="23"/>
        <v>1912.6620435098373</v>
      </c>
      <c r="M68" s="724">
        <f t="shared" si="23"/>
        <v>2103.9282478608206</v>
      </c>
      <c r="N68" s="724">
        <f t="shared" si="23"/>
        <v>2295.1944522118051</v>
      </c>
      <c r="O68" s="724">
        <f t="shared" si="23"/>
        <v>2486.4606565627882</v>
      </c>
      <c r="P68" s="724">
        <f t="shared" si="23"/>
        <v>2677.7268609137723</v>
      </c>
      <c r="Q68" s="724">
        <f t="shared" si="23"/>
        <v>2868.9930652647558</v>
      </c>
      <c r="R68" s="724">
        <f t="shared" si="23"/>
        <v>3060.2592696157399</v>
      </c>
      <c r="S68" s="724">
        <f t="shared" si="23"/>
        <v>3251.525473966723</v>
      </c>
      <c r="T68" s="724">
        <f t="shared" si="23"/>
        <v>3442.7916783177075</v>
      </c>
      <c r="U68" s="724">
        <f t="shared" si="23"/>
        <v>3634.0578826686906</v>
      </c>
      <c r="V68" s="724">
        <f t="shared" si="23"/>
        <v>3825.3240870196746</v>
      </c>
      <c r="W68" s="724">
        <f t="shared" si="23"/>
        <v>4016.5902913706586</v>
      </c>
      <c r="X68" s="724">
        <f t="shared" si="23"/>
        <v>4207.8564957216413</v>
      </c>
      <c r="Y68" s="724">
        <f t="shared" si="23"/>
        <v>4399.1227000726258</v>
      </c>
      <c r="Z68" s="724">
        <f t="shared" si="23"/>
        <v>4590.3889044236103</v>
      </c>
      <c r="AA68" s="724">
        <f t="shared" si="23"/>
        <v>4781.655108774592</v>
      </c>
      <c r="AB68" s="724">
        <f t="shared" si="23"/>
        <v>4590.3889044236103</v>
      </c>
      <c r="AC68" s="724">
        <f t="shared" si="23"/>
        <v>4399.1227000726258</v>
      </c>
      <c r="AD68" s="724">
        <f t="shared" si="23"/>
        <v>4207.8564957216413</v>
      </c>
      <c r="AE68" s="724">
        <f t="shared" si="23"/>
        <v>4016.5902913706586</v>
      </c>
      <c r="AF68" s="724">
        <f t="shared" si="23"/>
        <v>3825.3240870196746</v>
      </c>
      <c r="AG68" s="724">
        <f t="shared" si="23"/>
        <v>3634.0578826686906</v>
      </c>
      <c r="AH68" s="724">
        <f t="shared" si="23"/>
        <v>3442.7916783177075</v>
      </c>
      <c r="AI68" s="724">
        <f t="shared" si="23"/>
        <v>3251.525473966723</v>
      </c>
      <c r="AJ68" s="724">
        <f t="shared" si="23"/>
        <v>3060.2592696157399</v>
      </c>
      <c r="AK68" s="724">
        <f t="shared" si="23"/>
        <v>2868.9930652647558</v>
      </c>
      <c r="AL68" s="724">
        <f t="shared" si="23"/>
        <v>2677.7268609137723</v>
      </c>
      <c r="AM68" s="724">
        <f t="shared" si="23"/>
        <v>2486.4606565627882</v>
      </c>
      <c r="AN68" s="724">
        <f t="shared" si="23"/>
        <v>2295.1944522118051</v>
      </c>
      <c r="AO68" s="724">
        <f t="shared" si="23"/>
        <v>2103.9282478608206</v>
      </c>
      <c r="AP68" s="724">
        <f t="shared" si="23"/>
        <v>1912.6620435098373</v>
      </c>
      <c r="AQ68" s="724">
        <f t="shared" si="23"/>
        <v>1721.3958391588537</v>
      </c>
      <c r="AR68" s="724">
        <f t="shared" si="23"/>
        <v>1530.1296348078699</v>
      </c>
      <c r="AS68" s="724">
        <f t="shared" si="23"/>
        <v>1338.8634304568861</v>
      </c>
      <c r="AT68" s="724">
        <f t="shared" si="23"/>
        <v>1147.5972261059026</v>
      </c>
      <c r="AU68" s="725">
        <f t="shared" si="23"/>
        <v>956.33102175491865</v>
      </c>
    </row>
    <row r="69" spans="2:47" s="15" customFormat="1" ht="13.5" outlineLevel="1" x14ac:dyDescent="0.25">
      <c r="B69" s="678" t="s">
        <v>927</v>
      </c>
      <c r="C69" s="720">
        <f>SUM(C70:C72)</f>
        <v>2077.2368857949941</v>
      </c>
      <c r="D69" s="720">
        <f>SUM(D70:D72)</f>
        <v>4154.4737715899882</v>
      </c>
      <c r="E69" s="720">
        <f t="shared" ref="E69:AQ69" si="24">SUM(E70:E72)</f>
        <v>6231.7106573849824</v>
      </c>
      <c r="F69" s="720">
        <f t="shared" si="24"/>
        <v>8308.9475431799765</v>
      </c>
      <c r="G69" s="720">
        <f t="shared" si="24"/>
        <v>10386.184428974972</v>
      </c>
      <c r="H69" s="720">
        <f t="shared" si="24"/>
        <v>12463.421314769965</v>
      </c>
      <c r="I69" s="720">
        <f t="shared" si="24"/>
        <v>14540.658200564967</v>
      </c>
      <c r="J69" s="720">
        <f t="shared" si="24"/>
        <v>16617.895086359953</v>
      </c>
      <c r="K69" s="720">
        <f t="shared" si="24"/>
        <v>18695.131972154948</v>
      </c>
      <c r="L69" s="720">
        <f t="shared" si="24"/>
        <v>20772.368857949943</v>
      </c>
      <c r="M69" s="720">
        <f t="shared" si="24"/>
        <v>22849.605743744942</v>
      </c>
      <c r="N69" s="720">
        <f t="shared" si="24"/>
        <v>24926.842629539929</v>
      </c>
      <c r="O69" s="720">
        <f t="shared" si="24"/>
        <v>27004.079515334932</v>
      </c>
      <c r="P69" s="720">
        <f t="shared" si="24"/>
        <v>29081.316401129934</v>
      </c>
      <c r="Q69" s="720">
        <f t="shared" si="24"/>
        <v>31158.553286924915</v>
      </c>
      <c r="R69" s="720">
        <f t="shared" si="24"/>
        <v>33235.790172719906</v>
      </c>
      <c r="S69" s="720">
        <f t="shared" si="24"/>
        <v>35313.027058514912</v>
      </c>
      <c r="T69" s="720">
        <f t="shared" si="24"/>
        <v>37390.263944309896</v>
      </c>
      <c r="U69" s="720">
        <f t="shared" si="24"/>
        <v>39467.500830104902</v>
      </c>
      <c r="V69" s="720">
        <f t="shared" si="24"/>
        <v>41544.737715899886</v>
      </c>
      <c r="W69" s="720">
        <f t="shared" si="24"/>
        <v>43621.974601694877</v>
      </c>
      <c r="X69" s="720">
        <f t="shared" si="24"/>
        <v>45699.211487489883</v>
      </c>
      <c r="Y69" s="720">
        <f t="shared" si="24"/>
        <v>47776.448373284868</v>
      </c>
      <c r="Z69" s="720">
        <f t="shared" si="24"/>
        <v>49853.685259079859</v>
      </c>
      <c r="AA69" s="720">
        <f t="shared" si="24"/>
        <v>51930.922144874858</v>
      </c>
      <c r="AB69" s="720">
        <f t="shared" si="24"/>
        <v>49853.685259079859</v>
      </c>
      <c r="AC69" s="720">
        <f t="shared" si="24"/>
        <v>47776.448373284868</v>
      </c>
      <c r="AD69" s="720">
        <f t="shared" si="24"/>
        <v>45699.211487489883</v>
      </c>
      <c r="AE69" s="720">
        <f t="shared" si="24"/>
        <v>43621.974601694877</v>
      </c>
      <c r="AF69" s="720">
        <f t="shared" si="24"/>
        <v>41544.737715899886</v>
      </c>
      <c r="AG69" s="720">
        <f t="shared" si="24"/>
        <v>39467.500830104902</v>
      </c>
      <c r="AH69" s="720">
        <f t="shared" si="24"/>
        <v>37390.263944309896</v>
      </c>
      <c r="AI69" s="720">
        <f t="shared" si="24"/>
        <v>35313.027058514912</v>
      </c>
      <c r="AJ69" s="720">
        <f t="shared" si="24"/>
        <v>33235.790172719906</v>
      </c>
      <c r="AK69" s="720">
        <f t="shared" si="24"/>
        <v>31158.553286924915</v>
      </c>
      <c r="AL69" s="720">
        <f t="shared" si="24"/>
        <v>29081.316401129934</v>
      </c>
      <c r="AM69" s="720">
        <f t="shared" si="24"/>
        <v>27004.079515334932</v>
      </c>
      <c r="AN69" s="720">
        <f t="shared" si="24"/>
        <v>24926.842629539929</v>
      </c>
      <c r="AO69" s="720">
        <f t="shared" si="24"/>
        <v>22849.605743744942</v>
      </c>
      <c r="AP69" s="720">
        <f t="shared" si="24"/>
        <v>20772.368857949943</v>
      </c>
      <c r="AQ69" s="720">
        <f t="shared" si="24"/>
        <v>18695.131972154948</v>
      </c>
      <c r="AR69" s="720">
        <f t="shared" ref="AR69:AU69" si="25">SUM(AR70:AR72)</f>
        <v>16617.895086359953</v>
      </c>
      <c r="AS69" s="720">
        <f t="shared" si="25"/>
        <v>14540.658200564967</v>
      </c>
      <c r="AT69" s="720">
        <f t="shared" si="25"/>
        <v>12463.421314769965</v>
      </c>
      <c r="AU69" s="721">
        <f t="shared" si="25"/>
        <v>10386.184428974972</v>
      </c>
    </row>
    <row r="70" spans="2:47" s="15" customFormat="1" ht="13.5" outlineLevel="1" x14ac:dyDescent="0.25">
      <c r="B70" s="722" t="s">
        <v>485</v>
      </c>
      <c r="C70" s="717">
        <f>C62-C63</f>
        <v>1474.1820354311114</v>
      </c>
      <c r="D70" s="717">
        <f>D62-D63</f>
        <v>2948.3640708622229</v>
      </c>
      <c r="E70" s="717">
        <f t="shared" ref="E70:AQ70" si="26">E62-E63</f>
        <v>4422.5461062933337</v>
      </c>
      <c r="F70" s="717">
        <f t="shared" si="26"/>
        <v>5896.7281417244458</v>
      </c>
      <c r="G70" s="717">
        <f t="shared" si="26"/>
        <v>7370.9101771555588</v>
      </c>
      <c r="H70" s="717">
        <f t="shared" si="26"/>
        <v>8845.0922125866673</v>
      </c>
      <c r="I70" s="717">
        <f t="shared" si="26"/>
        <v>10319.274248017786</v>
      </c>
      <c r="J70" s="717">
        <f t="shared" si="26"/>
        <v>11793.456283448892</v>
      </c>
      <c r="K70" s="717">
        <f t="shared" si="26"/>
        <v>13267.638318880003</v>
      </c>
      <c r="L70" s="717">
        <f t="shared" si="26"/>
        <v>14741.820354311118</v>
      </c>
      <c r="M70" s="717">
        <f t="shared" si="26"/>
        <v>16216.002389742231</v>
      </c>
      <c r="N70" s="717">
        <f t="shared" si="26"/>
        <v>17690.184425173335</v>
      </c>
      <c r="O70" s="717">
        <f t="shared" si="26"/>
        <v>19164.366460604455</v>
      </c>
      <c r="P70" s="717">
        <f t="shared" si="26"/>
        <v>20638.548496035572</v>
      </c>
      <c r="Q70" s="717">
        <f t="shared" si="26"/>
        <v>22112.730531466674</v>
      </c>
      <c r="R70" s="717">
        <f t="shared" si="26"/>
        <v>23586.912566897783</v>
      </c>
      <c r="S70" s="717">
        <f t="shared" si="26"/>
        <v>25061.0946023289</v>
      </c>
      <c r="T70" s="717">
        <f t="shared" si="26"/>
        <v>26535.276637760006</v>
      </c>
      <c r="U70" s="717">
        <f t="shared" si="26"/>
        <v>28009.458673191126</v>
      </c>
      <c r="V70" s="717">
        <f t="shared" si="26"/>
        <v>29483.640708622235</v>
      </c>
      <c r="W70" s="717">
        <f t="shared" si="26"/>
        <v>30957.822744053341</v>
      </c>
      <c r="X70" s="717">
        <f t="shared" si="26"/>
        <v>32432.004779484461</v>
      </c>
      <c r="Y70" s="717">
        <f t="shared" si="26"/>
        <v>33906.186814915563</v>
      </c>
      <c r="Z70" s="717">
        <f t="shared" si="26"/>
        <v>35380.368850346669</v>
      </c>
      <c r="AA70" s="717">
        <f t="shared" si="26"/>
        <v>36854.550885777782</v>
      </c>
      <c r="AB70" s="717">
        <f t="shared" si="26"/>
        <v>35380.368850346669</v>
      </c>
      <c r="AC70" s="717">
        <f t="shared" si="26"/>
        <v>33906.186814915563</v>
      </c>
      <c r="AD70" s="717">
        <f t="shared" si="26"/>
        <v>32432.004779484461</v>
      </c>
      <c r="AE70" s="717">
        <f t="shared" si="26"/>
        <v>30957.822744053341</v>
      </c>
      <c r="AF70" s="717">
        <f t="shared" si="26"/>
        <v>29483.640708622235</v>
      </c>
      <c r="AG70" s="717">
        <f t="shared" si="26"/>
        <v>28009.458673191126</v>
      </c>
      <c r="AH70" s="717">
        <f t="shared" si="26"/>
        <v>26535.276637760006</v>
      </c>
      <c r="AI70" s="717">
        <f t="shared" si="26"/>
        <v>25061.0946023289</v>
      </c>
      <c r="AJ70" s="717">
        <f t="shared" si="26"/>
        <v>23586.912566897783</v>
      </c>
      <c r="AK70" s="717">
        <f t="shared" si="26"/>
        <v>22112.730531466674</v>
      </c>
      <c r="AL70" s="717">
        <f t="shared" si="26"/>
        <v>20638.548496035572</v>
      </c>
      <c r="AM70" s="717">
        <f t="shared" si="26"/>
        <v>19164.366460604455</v>
      </c>
      <c r="AN70" s="717">
        <f t="shared" si="26"/>
        <v>17690.184425173335</v>
      </c>
      <c r="AO70" s="717">
        <f t="shared" si="26"/>
        <v>16216.002389742231</v>
      </c>
      <c r="AP70" s="717">
        <f t="shared" si="26"/>
        <v>14741.820354311118</v>
      </c>
      <c r="AQ70" s="717">
        <f t="shared" si="26"/>
        <v>13267.638318880003</v>
      </c>
      <c r="AR70" s="717">
        <f t="shared" ref="AR70:AU70" si="27">AR62-AR63</f>
        <v>11793.456283448892</v>
      </c>
      <c r="AS70" s="717">
        <f t="shared" si="27"/>
        <v>10319.274248017786</v>
      </c>
      <c r="AT70" s="717">
        <f t="shared" si="27"/>
        <v>8845.0922125866673</v>
      </c>
      <c r="AU70" s="718">
        <f t="shared" si="27"/>
        <v>7370.9101771555588</v>
      </c>
    </row>
    <row r="71" spans="2:47" s="15" customFormat="1" ht="13.5" outlineLevel="1" x14ac:dyDescent="0.25">
      <c r="B71" s="722" t="s">
        <v>928</v>
      </c>
      <c r="C71" s="717">
        <f>(C67-C68)/$C$29</f>
        <v>225.71208197988267</v>
      </c>
      <c r="D71" s="717">
        <f t="shared" ref="D71:AU71" si="28">(D67-D68)/$C$29</f>
        <v>451.42416395976534</v>
      </c>
      <c r="E71" s="717">
        <f t="shared" si="28"/>
        <v>677.13624593964778</v>
      </c>
      <c r="F71" s="717">
        <f t="shared" si="28"/>
        <v>902.84832791953067</v>
      </c>
      <c r="G71" s="717">
        <f t="shared" si="28"/>
        <v>1128.5604098994133</v>
      </c>
      <c r="H71" s="717">
        <f t="shared" si="28"/>
        <v>1354.2724918792956</v>
      </c>
      <c r="I71" s="717">
        <f t="shared" si="28"/>
        <v>1579.9845738591789</v>
      </c>
      <c r="J71" s="717">
        <f t="shared" si="28"/>
        <v>1805.6966558390613</v>
      </c>
      <c r="K71" s="717">
        <f t="shared" si="28"/>
        <v>2031.4087378189436</v>
      </c>
      <c r="L71" s="717">
        <f t="shared" si="28"/>
        <v>2257.1208197988267</v>
      </c>
      <c r="M71" s="717">
        <f t="shared" si="28"/>
        <v>2482.8329017787096</v>
      </c>
      <c r="N71" s="717">
        <f t="shared" si="28"/>
        <v>2708.5449837585911</v>
      </c>
      <c r="O71" s="717">
        <f t="shared" si="28"/>
        <v>2934.2570657384749</v>
      </c>
      <c r="P71" s="717">
        <f t="shared" si="28"/>
        <v>3159.9691477183578</v>
      </c>
      <c r="Q71" s="717">
        <f t="shared" si="28"/>
        <v>3385.6812296982407</v>
      </c>
      <c r="R71" s="717">
        <f t="shared" si="28"/>
        <v>3611.3933116781227</v>
      </c>
      <c r="S71" s="717">
        <f t="shared" si="28"/>
        <v>3837.1053936580065</v>
      </c>
      <c r="T71" s="717">
        <f t="shared" si="28"/>
        <v>4062.8174756378871</v>
      </c>
      <c r="U71" s="717">
        <f t="shared" si="28"/>
        <v>4288.5295576177705</v>
      </c>
      <c r="V71" s="717">
        <f t="shared" si="28"/>
        <v>4514.2416395976534</v>
      </c>
      <c r="W71" s="717">
        <f t="shared" si="28"/>
        <v>4739.9537215775345</v>
      </c>
      <c r="X71" s="717">
        <f t="shared" si="28"/>
        <v>4965.6658035574192</v>
      </c>
      <c r="Y71" s="717">
        <f t="shared" si="28"/>
        <v>5191.3778855373021</v>
      </c>
      <c r="Z71" s="717">
        <f t="shared" si="28"/>
        <v>5417.0899675171822</v>
      </c>
      <c r="AA71" s="717">
        <f t="shared" si="28"/>
        <v>5642.8020494970679</v>
      </c>
      <c r="AB71" s="717">
        <f t="shared" si="28"/>
        <v>5417.0899675171822</v>
      </c>
      <c r="AC71" s="717">
        <f t="shared" si="28"/>
        <v>5191.3778855373021</v>
      </c>
      <c r="AD71" s="717">
        <f t="shared" si="28"/>
        <v>4965.6658035574192</v>
      </c>
      <c r="AE71" s="717">
        <f t="shared" si="28"/>
        <v>4739.9537215775345</v>
      </c>
      <c r="AF71" s="717">
        <f t="shared" si="28"/>
        <v>4514.2416395976534</v>
      </c>
      <c r="AG71" s="717">
        <f t="shared" si="28"/>
        <v>4288.5295576177705</v>
      </c>
      <c r="AH71" s="717">
        <f t="shared" si="28"/>
        <v>4062.8174756378871</v>
      </c>
      <c r="AI71" s="717">
        <f t="shared" si="28"/>
        <v>3837.1053936580065</v>
      </c>
      <c r="AJ71" s="717">
        <f t="shared" si="28"/>
        <v>3611.3933116781227</v>
      </c>
      <c r="AK71" s="717">
        <f t="shared" si="28"/>
        <v>3385.6812296982407</v>
      </c>
      <c r="AL71" s="717">
        <f t="shared" si="28"/>
        <v>3159.9691477183578</v>
      </c>
      <c r="AM71" s="717">
        <f t="shared" si="28"/>
        <v>2934.2570657384749</v>
      </c>
      <c r="AN71" s="717">
        <f t="shared" si="28"/>
        <v>2708.5449837585911</v>
      </c>
      <c r="AO71" s="717">
        <f t="shared" si="28"/>
        <v>2482.8329017787096</v>
      </c>
      <c r="AP71" s="717">
        <f t="shared" si="28"/>
        <v>2257.1208197988267</v>
      </c>
      <c r="AQ71" s="717">
        <f t="shared" si="28"/>
        <v>2031.4087378189436</v>
      </c>
      <c r="AR71" s="717">
        <f t="shared" si="28"/>
        <v>1805.6966558390613</v>
      </c>
      <c r="AS71" s="717">
        <f t="shared" si="28"/>
        <v>1579.9845738591789</v>
      </c>
      <c r="AT71" s="717">
        <f t="shared" si="28"/>
        <v>1354.2724918792956</v>
      </c>
      <c r="AU71" s="718">
        <f t="shared" si="28"/>
        <v>1128.5604098994133</v>
      </c>
    </row>
    <row r="72" spans="2:47" s="15" customFormat="1" ht="13.5" outlineLevel="1" x14ac:dyDescent="0.25">
      <c r="B72" s="722" t="s">
        <v>483</v>
      </c>
      <c r="C72" s="717">
        <f>C60-C61+C65-C66</f>
        <v>377.34276838400012</v>
      </c>
      <c r="D72" s="717">
        <f>D60-D61+D65-D66</f>
        <v>754.68553676800025</v>
      </c>
      <c r="E72" s="717">
        <f t="shared" ref="E72:AQ72" si="29">E60-E61+E65-E66</f>
        <v>1132.0283051520009</v>
      </c>
      <c r="F72" s="717">
        <f t="shared" si="29"/>
        <v>1509.3710735360005</v>
      </c>
      <c r="G72" s="717">
        <f t="shared" si="29"/>
        <v>1886.71384192</v>
      </c>
      <c r="H72" s="717">
        <f t="shared" si="29"/>
        <v>2264.0566103040019</v>
      </c>
      <c r="I72" s="717">
        <f t="shared" si="29"/>
        <v>2641.3993786880014</v>
      </c>
      <c r="J72" s="717">
        <f t="shared" si="29"/>
        <v>3018.742147072001</v>
      </c>
      <c r="K72" s="717">
        <f t="shared" si="29"/>
        <v>3396.084915456001</v>
      </c>
      <c r="L72" s="717">
        <f t="shared" si="29"/>
        <v>3773.4276838400001</v>
      </c>
      <c r="M72" s="717">
        <f t="shared" si="29"/>
        <v>4150.7704522240037</v>
      </c>
      <c r="N72" s="717">
        <f t="shared" si="29"/>
        <v>4528.1132206080038</v>
      </c>
      <c r="O72" s="717">
        <f t="shared" si="29"/>
        <v>4905.4559889920019</v>
      </c>
      <c r="P72" s="717">
        <f t="shared" si="29"/>
        <v>5282.7987573760029</v>
      </c>
      <c r="Q72" s="717">
        <f t="shared" si="29"/>
        <v>5660.141525760002</v>
      </c>
      <c r="R72" s="717">
        <f t="shared" si="29"/>
        <v>6037.484294144002</v>
      </c>
      <c r="S72" s="717">
        <f t="shared" si="29"/>
        <v>6414.8270625280029</v>
      </c>
      <c r="T72" s="717">
        <f t="shared" si="29"/>
        <v>6792.169830912002</v>
      </c>
      <c r="U72" s="717">
        <f t="shared" si="29"/>
        <v>7169.5125992960066</v>
      </c>
      <c r="V72" s="717">
        <f t="shared" si="29"/>
        <v>7546.8553676800002</v>
      </c>
      <c r="W72" s="717">
        <f t="shared" si="29"/>
        <v>7924.1981360640038</v>
      </c>
      <c r="X72" s="717">
        <f t="shared" si="29"/>
        <v>8301.5409044480075</v>
      </c>
      <c r="Y72" s="717">
        <f t="shared" si="29"/>
        <v>8678.8836728320039</v>
      </c>
      <c r="Z72" s="717">
        <f t="shared" si="29"/>
        <v>9056.2264412160075</v>
      </c>
      <c r="AA72" s="717">
        <f t="shared" si="29"/>
        <v>9433.5692096000075</v>
      </c>
      <c r="AB72" s="717">
        <f t="shared" si="29"/>
        <v>9056.2264412160075</v>
      </c>
      <c r="AC72" s="717">
        <f t="shared" si="29"/>
        <v>8678.8836728320039</v>
      </c>
      <c r="AD72" s="717">
        <f t="shared" si="29"/>
        <v>8301.5409044480075</v>
      </c>
      <c r="AE72" s="717">
        <f t="shared" si="29"/>
        <v>7924.1981360640038</v>
      </c>
      <c r="AF72" s="717">
        <f t="shared" si="29"/>
        <v>7546.8553676800002</v>
      </c>
      <c r="AG72" s="717">
        <f t="shared" si="29"/>
        <v>7169.5125992960066</v>
      </c>
      <c r="AH72" s="717">
        <f t="shared" si="29"/>
        <v>6792.169830912002</v>
      </c>
      <c r="AI72" s="717">
        <f t="shared" si="29"/>
        <v>6414.8270625280029</v>
      </c>
      <c r="AJ72" s="717">
        <f t="shared" si="29"/>
        <v>6037.484294144002</v>
      </c>
      <c r="AK72" s="717">
        <f t="shared" si="29"/>
        <v>5660.141525760002</v>
      </c>
      <c r="AL72" s="717">
        <f t="shared" si="29"/>
        <v>5282.7987573760029</v>
      </c>
      <c r="AM72" s="717">
        <f t="shared" si="29"/>
        <v>4905.4559889920019</v>
      </c>
      <c r="AN72" s="717">
        <f t="shared" si="29"/>
        <v>4528.1132206080038</v>
      </c>
      <c r="AO72" s="717">
        <f t="shared" si="29"/>
        <v>4150.7704522240037</v>
      </c>
      <c r="AP72" s="717">
        <f t="shared" si="29"/>
        <v>3773.4276838400001</v>
      </c>
      <c r="AQ72" s="717">
        <f t="shared" si="29"/>
        <v>3396.084915456001</v>
      </c>
      <c r="AR72" s="717">
        <f t="shared" ref="AR72:AU72" si="30">AR60-AR61+AR65-AR66</f>
        <v>3018.742147072001</v>
      </c>
      <c r="AS72" s="717">
        <f t="shared" si="30"/>
        <v>2641.3993786880014</v>
      </c>
      <c r="AT72" s="717">
        <f t="shared" si="30"/>
        <v>2264.0566103040019</v>
      </c>
      <c r="AU72" s="718">
        <f t="shared" si="30"/>
        <v>1886.71384192</v>
      </c>
    </row>
    <row r="73" spans="2:47" s="15" customFormat="1" ht="13.5" outlineLevel="1" x14ac:dyDescent="0.25">
      <c r="B73" s="696" t="s">
        <v>929</v>
      </c>
      <c r="C73" s="729"/>
      <c r="D73" s="724"/>
      <c r="E73" s="724"/>
      <c r="F73" s="724"/>
      <c r="G73" s="724"/>
      <c r="H73" s="724"/>
      <c r="I73" s="724"/>
      <c r="J73" s="724"/>
      <c r="K73" s="724"/>
      <c r="L73" s="724"/>
      <c r="M73" s="724"/>
      <c r="N73" s="724"/>
      <c r="O73" s="724"/>
      <c r="P73" s="724"/>
      <c r="Q73" s="724"/>
      <c r="R73" s="724"/>
      <c r="S73" s="724"/>
      <c r="T73" s="724"/>
      <c r="U73" s="724"/>
      <c r="V73" s="724"/>
      <c r="W73" s="724"/>
      <c r="X73" s="724"/>
      <c r="Y73" s="724"/>
      <c r="Z73" s="724"/>
      <c r="AA73" s="724"/>
      <c r="AB73" s="724"/>
      <c r="AC73" s="724"/>
      <c r="AD73" s="724"/>
      <c r="AE73" s="724"/>
      <c r="AF73" s="724"/>
      <c r="AG73" s="724"/>
      <c r="AH73" s="724"/>
      <c r="AI73" s="724"/>
      <c r="AJ73" s="724"/>
      <c r="AK73" s="724"/>
      <c r="AL73" s="724"/>
      <c r="AM73" s="724"/>
      <c r="AN73" s="724"/>
      <c r="AO73" s="724"/>
      <c r="AP73" s="724"/>
      <c r="AQ73" s="724"/>
      <c r="AR73" s="724"/>
      <c r="AS73" s="724"/>
      <c r="AT73" s="724"/>
      <c r="AU73" s="725"/>
    </row>
    <row r="74" spans="2:47" s="15" customFormat="1" ht="13.5" outlineLevel="1" x14ac:dyDescent="0.25">
      <c r="B74" s="723" t="s">
        <v>930</v>
      </c>
      <c r="C74" s="730">
        <f>SISENDID!$C$72</f>
        <v>0.19919000000000001</v>
      </c>
      <c r="D74" s="730">
        <f>SISENDID!$C$72</f>
        <v>0.19919000000000001</v>
      </c>
      <c r="E74" s="730">
        <f>SISENDID!$C$72</f>
        <v>0.19919000000000001</v>
      </c>
      <c r="F74" s="730">
        <f>SISENDID!$C$72</f>
        <v>0.19919000000000001</v>
      </c>
      <c r="G74" s="730">
        <f>SISENDID!$C$72</f>
        <v>0.19919000000000001</v>
      </c>
      <c r="H74" s="730">
        <f>SISENDID!$C$72</f>
        <v>0.19919000000000001</v>
      </c>
      <c r="I74" s="730">
        <f>SISENDID!$C$72</f>
        <v>0.19919000000000001</v>
      </c>
      <c r="J74" s="730">
        <f>SISENDID!$C$72</f>
        <v>0.19919000000000001</v>
      </c>
      <c r="K74" s="730">
        <f>SISENDID!$C$72</f>
        <v>0.19919000000000001</v>
      </c>
      <c r="L74" s="730">
        <f>SISENDID!$C$72</f>
        <v>0.19919000000000001</v>
      </c>
      <c r="M74" s="730">
        <f>SISENDID!$C$72</f>
        <v>0.19919000000000001</v>
      </c>
      <c r="N74" s="730">
        <f>SISENDID!$C$72</f>
        <v>0.19919000000000001</v>
      </c>
      <c r="O74" s="730">
        <f>SISENDID!$C$72</f>
        <v>0.19919000000000001</v>
      </c>
      <c r="P74" s="730">
        <f>SISENDID!$C$72</f>
        <v>0.19919000000000001</v>
      </c>
      <c r="Q74" s="730">
        <f>SISENDID!$C$72</f>
        <v>0.19919000000000001</v>
      </c>
      <c r="R74" s="730">
        <f>SISENDID!$C$72</f>
        <v>0.19919000000000001</v>
      </c>
      <c r="S74" s="730">
        <f>SISENDID!$C$72</f>
        <v>0.19919000000000001</v>
      </c>
      <c r="T74" s="730">
        <f>SISENDID!$C$72</f>
        <v>0.19919000000000001</v>
      </c>
      <c r="U74" s="730">
        <f>SISENDID!$C$72</f>
        <v>0.19919000000000001</v>
      </c>
      <c r="V74" s="730">
        <f>SISENDID!$C$72</f>
        <v>0.19919000000000001</v>
      </c>
      <c r="W74" s="730">
        <f>SISENDID!$C$72</f>
        <v>0.19919000000000001</v>
      </c>
      <c r="X74" s="730">
        <f>SISENDID!$C$72</f>
        <v>0.19919000000000001</v>
      </c>
      <c r="Y74" s="730">
        <f>SISENDID!$C$72</f>
        <v>0.19919000000000001</v>
      </c>
      <c r="Z74" s="730">
        <f>SISENDID!$C$72</f>
        <v>0.19919000000000001</v>
      </c>
      <c r="AA74" s="730">
        <f>SISENDID!$C$72</f>
        <v>0.19919000000000001</v>
      </c>
      <c r="AB74" s="730">
        <f>SISENDID!$C$72</f>
        <v>0.19919000000000001</v>
      </c>
      <c r="AC74" s="730">
        <f>SISENDID!$C$72</f>
        <v>0.19919000000000001</v>
      </c>
      <c r="AD74" s="730">
        <f>SISENDID!$C$72</f>
        <v>0.19919000000000001</v>
      </c>
      <c r="AE74" s="730">
        <f>SISENDID!$C$72</f>
        <v>0.19919000000000001</v>
      </c>
      <c r="AF74" s="730">
        <f>SISENDID!$C$72</f>
        <v>0.19919000000000001</v>
      </c>
      <c r="AG74" s="730">
        <f>SISENDID!$C$72</f>
        <v>0.19919000000000001</v>
      </c>
      <c r="AH74" s="730">
        <f>SISENDID!$C$72</f>
        <v>0.19919000000000001</v>
      </c>
      <c r="AI74" s="730">
        <f>SISENDID!$C$72</f>
        <v>0.19919000000000001</v>
      </c>
      <c r="AJ74" s="730">
        <f>SISENDID!$C$72</f>
        <v>0.19919000000000001</v>
      </c>
      <c r="AK74" s="730">
        <f>SISENDID!$C$72</f>
        <v>0.19919000000000001</v>
      </c>
      <c r="AL74" s="730">
        <f>SISENDID!$C$72</f>
        <v>0.19919000000000001</v>
      </c>
      <c r="AM74" s="730">
        <f>SISENDID!$C$72</f>
        <v>0.19919000000000001</v>
      </c>
      <c r="AN74" s="730">
        <f>SISENDID!$C$72</f>
        <v>0.19919000000000001</v>
      </c>
      <c r="AO74" s="730">
        <f>SISENDID!$C$72</f>
        <v>0.19919000000000001</v>
      </c>
      <c r="AP74" s="730">
        <f>SISENDID!$C$72</f>
        <v>0.19919000000000001</v>
      </c>
      <c r="AQ74" s="730">
        <f>SISENDID!$C$72</f>
        <v>0.19919000000000001</v>
      </c>
      <c r="AR74" s="730">
        <f>SISENDID!$C$72</f>
        <v>0.19919000000000001</v>
      </c>
      <c r="AS74" s="730">
        <f>SISENDID!$C$72</f>
        <v>0.19919000000000001</v>
      </c>
      <c r="AT74" s="730">
        <f>SISENDID!$C$72</f>
        <v>0.19919000000000001</v>
      </c>
      <c r="AU74" s="731">
        <f>SISENDID!$C$72</f>
        <v>0.19919000000000001</v>
      </c>
    </row>
    <row r="75" spans="2:47" s="15" customFormat="1" ht="13.5" outlineLevel="1" x14ac:dyDescent="0.25">
      <c r="B75" s="723" t="s">
        <v>485</v>
      </c>
      <c r="C75" s="730">
        <f>SISENDID!H73</f>
        <v>5.9700000000000003E-2</v>
      </c>
      <c r="D75" s="730">
        <f>SISENDID!I73</f>
        <v>4.4775000000000002E-2</v>
      </c>
      <c r="E75" s="730">
        <f>SISENDID!J73</f>
        <v>2.9850000000000002E-2</v>
      </c>
      <c r="F75" s="730">
        <f>SISENDID!K73</f>
        <v>1.4925000000000001E-2</v>
      </c>
      <c r="G75" s="730">
        <f>SISENDID!L73</f>
        <v>0</v>
      </c>
      <c r="H75" s="730">
        <f>SISENDID!M73</f>
        <v>0</v>
      </c>
      <c r="I75" s="730">
        <f>SISENDID!N73</f>
        <v>0</v>
      </c>
      <c r="J75" s="730">
        <f>SISENDID!O73</f>
        <v>0</v>
      </c>
      <c r="K75" s="730">
        <f>SISENDID!P73</f>
        <v>0</v>
      </c>
      <c r="L75" s="730">
        <f>SISENDID!Q73</f>
        <v>0</v>
      </c>
      <c r="M75" s="730">
        <f>SISENDID!R73</f>
        <v>0</v>
      </c>
      <c r="N75" s="730">
        <f>SISENDID!S73</f>
        <v>0</v>
      </c>
      <c r="O75" s="730">
        <f>SISENDID!T73</f>
        <v>0</v>
      </c>
      <c r="P75" s="730">
        <f>SISENDID!U73</f>
        <v>0</v>
      </c>
      <c r="Q75" s="730">
        <f>SISENDID!V73</f>
        <v>0</v>
      </c>
      <c r="R75" s="730">
        <f>SISENDID!W73</f>
        <v>0</v>
      </c>
      <c r="S75" s="730">
        <f>SISENDID!X73</f>
        <v>0</v>
      </c>
      <c r="T75" s="730">
        <f>SISENDID!Y73</f>
        <v>0</v>
      </c>
      <c r="U75" s="730">
        <f>SISENDID!Z73</f>
        <v>0</v>
      </c>
      <c r="V75" s="730">
        <f>SISENDID!AA73</f>
        <v>0</v>
      </c>
      <c r="W75" s="730">
        <f>SISENDID!AB73</f>
        <v>0</v>
      </c>
      <c r="X75" s="730">
        <f>SISENDID!AC73</f>
        <v>0</v>
      </c>
      <c r="Y75" s="730">
        <f>SISENDID!AD73</f>
        <v>0</v>
      </c>
      <c r="Z75" s="730">
        <f>SISENDID!AE73</f>
        <v>0</v>
      </c>
      <c r="AA75" s="730">
        <f>SISENDID!AF73</f>
        <v>0</v>
      </c>
      <c r="AB75" s="730">
        <f>SISENDID!AG73</f>
        <v>0</v>
      </c>
      <c r="AC75" s="730">
        <f>SISENDID!AH73</f>
        <v>0</v>
      </c>
      <c r="AD75" s="730">
        <f>SISENDID!AI73</f>
        <v>0</v>
      </c>
      <c r="AE75" s="730">
        <f>SISENDID!AJ73</f>
        <v>0</v>
      </c>
      <c r="AF75" s="730">
        <f>SISENDID!AK73</f>
        <v>0</v>
      </c>
      <c r="AG75" s="730">
        <f>SISENDID!AL73</f>
        <v>0</v>
      </c>
      <c r="AH75" s="730">
        <f>SISENDID!AM73</f>
        <v>0</v>
      </c>
      <c r="AI75" s="730">
        <f>SISENDID!AN73</f>
        <v>0</v>
      </c>
      <c r="AJ75" s="730">
        <f>SISENDID!AO73</f>
        <v>0</v>
      </c>
      <c r="AK75" s="730">
        <f>SISENDID!AP73</f>
        <v>0</v>
      </c>
      <c r="AL75" s="730">
        <f>SISENDID!AQ73</f>
        <v>0</v>
      </c>
      <c r="AM75" s="730">
        <f>SISENDID!AR73</f>
        <v>0</v>
      </c>
      <c r="AN75" s="730">
        <f>SISENDID!AS73</f>
        <v>0</v>
      </c>
      <c r="AO75" s="730">
        <f>SISENDID!AT73</f>
        <v>0</v>
      </c>
      <c r="AP75" s="730">
        <f>SISENDID!AU73</f>
        <v>0</v>
      </c>
      <c r="AQ75" s="730">
        <f>SISENDID!AV73</f>
        <v>0</v>
      </c>
      <c r="AR75" s="730">
        <f>SISENDID!AW73</f>
        <v>0</v>
      </c>
      <c r="AS75" s="730">
        <f>SISENDID!AX73</f>
        <v>0</v>
      </c>
      <c r="AT75" s="730">
        <f>SISENDID!AY73</f>
        <v>0</v>
      </c>
      <c r="AU75" s="731">
        <f>SISENDID!AZ73</f>
        <v>0</v>
      </c>
    </row>
    <row r="76" spans="2:47" s="39" customFormat="1" ht="13.5" outlineLevel="1" x14ac:dyDescent="0.25">
      <c r="B76" s="715" t="s">
        <v>931</v>
      </c>
      <c r="C76" s="720">
        <f>C71*C74+C70*C75</f>
        <v>132.96825712481018</v>
      </c>
      <c r="D76" s="720">
        <f>D71*D74+D70*D75</f>
        <v>221.93218049200169</v>
      </c>
      <c r="E76" s="720">
        <f t="shared" ref="E76:AQ76" si="31">E71*E74+E70*E75</f>
        <v>266.89177010157448</v>
      </c>
      <c r="F76" s="720">
        <f t="shared" si="31"/>
        <v>267.84702595352871</v>
      </c>
      <c r="G76" s="720">
        <f t="shared" si="31"/>
        <v>224.79794804786414</v>
      </c>
      <c r="H76" s="720">
        <f t="shared" si="31"/>
        <v>269.7575376574369</v>
      </c>
      <c r="I76" s="720">
        <f t="shared" si="31"/>
        <v>314.71712726700986</v>
      </c>
      <c r="J76" s="720">
        <f t="shared" si="31"/>
        <v>359.67671687658265</v>
      </c>
      <c r="K76" s="720">
        <f t="shared" si="31"/>
        <v>404.63630648615538</v>
      </c>
      <c r="L76" s="720">
        <f t="shared" si="31"/>
        <v>449.59589609572828</v>
      </c>
      <c r="M76" s="720">
        <f t="shared" si="31"/>
        <v>494.55548570530118</v>
      </c>
      <c r="N76" s="720">
        <f t="shared" si="31"/>
        <v>539.5150753148738</v>
      </c>
      <c r="O76" s="720">
        <f t="shared" si="31"/>
        <v>584.47466492444687</v>
      </c>
      <c r="P76" s="720">
        <f t="shared" si="31"/>
        <v>629.43425453401971</v>
      </c>
      <c r="Q76" s="720">
        <f t="shared" si="31"/>
        <v>674.39384414359256</v>
      </c>
      <c r="R76" s="720">
        <f t="shared" si="31"/>
        <v>719.35343375316529</v>
      </c>
      <c r="S76" s="720">
        <f t="shared" si="31"/>
        <v>764.31302336273836</v>
      </c>
      <c r="T76" s="720">
        <f t="shared" si="31"/>
        <v>809.27261297231075</v>
      </c>
      <c r="U76" s="720">
        <f t="shared" si="31"/>
        <v>854.23220258188371</v>
      </c>
      <c r="V76" s="720">
        <f t="shared" si="31"/>
        <v>899.19179219145656</v>
      </c>
      <c r="W76" s="720">
        <f t="shared" si="31"/>
        <v>944.15138180102906</v>
      </c>
      <c r="X76" s="720">
        <f t="shared" si="31"/>
        <v>989.11097141060236</v>
      </c>
      <c r="Y76" s="720">
        <f t="shared" si="31"/>
        <v>1034.0705610201753</v>
      </c>
      <c r="Z76" s="720">
        <f t="shared" si="31"/>
        <v>1079.0301506297476</v>
      </c>
      <c r="AA76" s="720">
        <f t="shared" si="31"/>
        <v>1123.989740239321</v>
      </c>
      <c r="AB76" s="720">
        <f t="shared" si="31"/>
        <v>1079.0301506297476</v>
      </c>
      <c r="AC76" s="720">
        <f t="shared" si="31"/>
        <v>1034.0705610201753</v>
      </c>
      <c r="AD76" s="720">
        <f t="shared" si="31"/>
        <v>989.11097141060236</v>
      </c>
      <c r="AE76" s="720">
        <f t="shared" si="31"/>
        <v>944.15138180102906</v>
      </c>
      <c r="AF76" s="720">
        <f t="shared" si="31"/>
        <v>899.19179219145656</v>
      </c>
      <c r="AG76" s="720">
        <f t="shared" si="31"/>
        <v>854.23220258188371</v>
      </c>
      <c r="AH76" s="720">
        <f t="shared" si="31"/>
        <v>809.27261297231075</v>
      </c>
      <c r="AI76" s="720">
        <f t="shared" si="31"/>
        <v>764.31302336273836</v>
      </c>
      <c r="AJ76" s="720">
        <f t="shared" si="31"/>
        <v>719.35343375316529</v>
      </c>
      <c r="AK76" s="720">
        <f t="shared" si="31"/>
        <v>674.39384414359256</v>
      </c>
      <c r="AL76" s="720">
        <f t="shared" si="31"/>
        <v>629.43425453401971</v>
      </c>
      <c r="AM76" s="720">
        <f t="shared" si="31"/>
        <v>584.47466492444687</v>
      </c>
      <c r="AN76" s="720">
        <f t="shared" si="31"/>
        <v>539.5150753148738</v>
      </c>
      <c r="AO76" s="720">
        <f t="shared" si="31"/>
        <v>494.55548570530118</v>
      </c>
      <c r="AP76" s="720">
        <f t="shared" si="31"/>
        <v>449.59589609572828</v>
      </c>
      <c r="AQ76" s="720">
        <f t="shared" si="31"/>
        <v>404.63630648615538</v>
      </c>
      <c r="AR76" s="720">
        <f t="shared" ref="AR76:AU76" si="32">AR71*AR74+AR70*AR75</f>
        <v>359.67671687658265</v>
      </c>
      <c r="AS76" s="720">
        <f t="shared" si="32"/>
        <v>314.71712726700986</v>
      </c>
      <c r="AT76" s="720">
        <f t="shared" si="32"/>
        <v>269.7575376574369</v>
      </c>
      <c r="AU76" s="721">
        <f t="shared" si="32"/>
        <v>224.79794804786414</v>
      </c>
    </row>
    <row r="77" spans="2:47" s="15" customFormat="1" ht="18.75" customHeight="1" x14ac:dyDescent="0.25"/>
    <row r="78" spans="2:47" s="15" customFormat="1" ht="13.5" x14ac:dyDescent="0.25"/>
    <row r="79" spans="2:47" s="15" customFormat="1" ht="13.5" x14ac:dyDescent="0.25">
      <c r="C79" s="237"/>
      <c r="D79" s="237"/>
    </row>
    <row r="80" spans="2:47" x14ac:dyDescent="0.25">
      <c r="C80" s="238"/>
      <c r="D80" s="237"/>
    </row>
    <row r="81" spans="3:4" x14ac:dyDescent="0.25">
      <c r="C81" s="238"/>
      <c r="D81" s="237"/>
    </row>
    <row r="82" spans="3:4" x14ac:dyDescent="0.25">
      <c r="C82" s="238"/>
      <c r="D82" s="1"/>
    </row>
    <row r="83" spans="3:4" x14ac:dyDescent="0.25">
      <c r="C83" s="238"/>
      <c r="D83" s="1"/>
    </row>
    <row r="84" spans="3:4" x14ac:dyDescent="0.25">
      <c r="C84" s="238"/>
      <c r="D84" s="1"/>
    </row>
    <row r="85" spans="3:4" x14ac:dyDescent="0.25">
      <c r="C85" s="237"/>
      <c r="D85" s="1"/>
    </row>
    <row r="86" spans="3:4" x14ac:dyDescent="0.25">
      <c r="C86" s="237"/>
      <c r="D86" s="1"/>
    </row>
    <row r="87" spans="3:4" x14ac:dyDescent="0.25">
      <c r="C87" s="237"/>
      <c r="D87" s="1"/>
    </row>
    <row r="88" spans="3:4" x14ac:dyDescent="0.25">
      <c r="C88" s="237"/>
      <c r="D88" s="1"/>
    </row>
  </sheetData>
  <sheetProtection algorithmName="SHA-512" hashValue="LGQkn5OZQjrwhCeco4MMCCa7fNntQdYwwFeJ+XxwDNlO+U4tr+TFdDKIOj5BSbQje4EBIwFhYqX+B2Y1o41Sgw==" saltValue="FQAj57BCIC5uST8nTgoq7g==" spinCount="100000" sheet="1" selectLockedCells="1"/>
  <mergeCells count="4">
    <mergeCell ref="B3:F3"/>
    <mergeCell ref="J11:K11"/>
    <mergeCell ref="L11:M11"/>
    <mergeCell ref="G3:L3"/>
  </mergeCells>
  <phoneticPr fontId="16" type="noConversion"/>
  <conditionalFormatting sqref="C45:C47">
    <cfRule type="containsText" dxfId="80" priority="1" operator="containsText" text="Kõrge">
      <formula>NOT(ISERROR(SEARCH("Kõrge",C45)))</formula>
    </cfRule>
    <cfRule type="containsText" dxfId="79" priority="2" operator="containsText" text="Mõõdukas">
      <formula>NOT(ISERROR(SEARCH("Mõõdukas",C45)))</formula>
    </cfRule>
    <cfRule type="containsText" dxfId="78" priority="3" operator="containsText" text="Madal">
      <formula>NOT(ISERROR(SEARCH("Madal",C45)))</formula>
    </cfRule>
  </conditionalFormatting>
  <dataValidations count="3">
    <dataValidation type="list" allowBlank="1" showInputMessage="1" showErrorMessage="1" sqref="C45" xr:uid="{5C8B24A2-F98C-44DF-9433-8FE6952BE431}">
      <formula1>J45:J47</formula1>
    </dataValidation>
    <dataValidation type="list" allowBlank="1" showInputMessage="1" showErrorMessage="1" sqref="C46" xr:uid="{C4BF0472-4C79-40E5-B41B-EDE2842F4823}">
      <formula1>J45:J47</formula1>
    </dataValidation>
    <dataValidation type="list" allowBlank="1" showInputMessage="1" showErrorMessage="1" sqref="C47" xr:uid="{008A34E0-9093-4F44-B9BF-673AAC1A2436}">
      <formula1>J45:J47</formula1>
    </dataValidation>
  </dataValidations>
  <hyperlinks>
    <hyperlink ref="B1" location="MEETMED!A1" display="&lt;-MEETMETE NIMEKIRI" xr:uid="{9C4B227C-3A13-49E0-A649-1C099A07030B}"/>
  </hyperlinks>
  <pageMargins left="0.7" right="0.7" top="0.75" bottom="0.75" header="0.3" footer="0.3"/>
  <pageSetup orientation="portrait"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37303-A2D1-4D1C-A4B8-4A9E55AEBACF}">
  <sheetPr>
    <tabColor theme="9" tint="0.79998168889431442"/>
  </sheetPr>
  <dimension ref="A1:AU60"/>
  <sheetViews>
    <sheetView showGridLines="0" topLeftCell="B1" workbookViewId="0">
      <selection activeCell="E12" sqref="E12"/>
    </sheetView>
  </sheetViews>
  <sheetFormatPr defaultColWidth="8.85546875" defaultRowHeight="15" outlineLevelRow="1" x14ac:dyDescent="0.25"/>
  <cols>
    <col min="1" max="1" width="4.42578125" customWidth="1"/>
    <col min="2" max="2" width="49.5703125" customWidth="1"/>
    <col min="3" max="3" width="12.7109375" customWidth="1"/>
    <col min="4" max="4" width="12.28515625" customWidth="1"/>
    <col min="5" max="5" width="13.85546875" customWidth="1"/>
    <col min="6" max="6" width="12" customWidth="1"/>
    <col min="7" max="7" width="11.7109375" customWidth="1"/>
    <col min="8" max="8" width="13.5703125" customWidth="1"/>
    <col min="9" max="9" width="9" customWidth="1"/>
    <col min="10" max="10" width="11.85546875"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84" customHeight="1" x14ac:dyDescent="0.25">
      <c r="A3" s="260" t="s">
        <v>416</v>
      </c>
      <c r="B3" s="988" t="s">
        <v>932</v>
      </c>
      <c r="C3" s="988"/>
      <c r="D3" s="988"/>
      <c r="E3" s="988" t="s">
        <v>933</v>
      </c>
      <c r="F3" s="988"/>
      <c r="G3" s="988"/>
      <c r="H3" s="988"/>
      <c r="I3" s="988"/>
      <c r="J3" s="988"/>
      <c r="K3" s="988"/>
      <c r="L3" s="988"/>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57" t="s">
        <v>861</v>
      </c>
      <c r="C5" s="657"/>
      <c r="D5" s="657"/>
      <c r="E5" s="657"/>
      <c r="F5" s="657"/>
      <c r="G5" s="657"/>
      <c r="H5" s="657"/>
      <c r="I5" s="657"/>
      <c r="J5" s="657"/>
      <c r="K5" s="657"/>
      <c r="L5" s="657"/>
      <c r="M5" s="1"/>
      <c r="N5" s="1"/>
      <c r="P5" s="1"/>
      <c r="Q5" s="1"/>
      <c r="R5" s="1"/>
      <c r="S5" s="1"/>
      <c r="T5" s="1"/>
      <c r="U5" s="1"/>
      <c r="V5" s="1"/>
      <c r="W5" s="1"/>
      <c r="X5" s="1"/>
      <c r="Y5" s="1"/>
      <c r="Z5" s="1"/>
      <c r="AA5" s="1"/>
    </row>
    <row r="6" spans="1:27" s="1" customFormat="1" ht="14.25" customHeight="1" outlineLevel="1" x14ac:dyDescent="0.25">
      <c r="D6" s="33"/>
      <c r="H6" s="306" t="s">
        <v>16</v>
      </c>
    </row>
    <row r="7" spans="1:27" s="1" customFormat="1" ht="27" outlineLevel="1" x14ac:dyDescent="0.25">
      <c r="B7" s="742"/>
      <c r="C7" s="743" t="s">
        <v>934</v>
      </c>
      <c r="D7" s="743" t="s">
        <v>934</v>
      </c>
      <c r="E7" s="742" t="s">
        <v>935</v>
      </c>
      <c r="F7" s="743" t="s">
        <v>936</v>
      </c>
      <c r="G7" s="743" t="s">
        <v>937</v>
      </c>
      <c r="H7" s="743" t="s">
        <v>938</v>
      </c>
    </row>
    <row r="8" spans="1:27" s="1" customFormat="1" ht="22.9" customHeight="1" outlineLevel="1" x14ac:dyDescent="0.25">
      <c r="B8" s="741" t="s">
        <v>939</v>
      </c>
      <c r="C8" s="742" t="s">
        <v>940</v>
      </c>
      <c r="D8" s="742" t="s">
        <v>532</v>
      </c>
      <c r="E8" s="742" t="s">
        <v>941</v>
      </c>
      <c r="F8" s="742" t="s">
        <v>532</v>
      </c>
      <c r="G8" s="742" t="s">
        <v>942</v>
      </c>
      <c r="H8" s="742" t="s">
        <v>943</v>
      </c>
      <c r="J8" s="277" t="s">
        <v>876</v>
      </c>
      <c r="L8" s="263"/>
    </row>
    <row r="9" spans="1:27" s="1" customFormat="1" outlineLevel="1" x14ac:dyDescent="0.25">
      <c r="B9" s="671" t="s">
        <v>576</v>
      </c>
      <c r="C9" s="915">
        <v>0.05</v>
      </c>
      <c r="D9" s="734">
        <f>C9*'HO1'!D13</f>
        <v>5794.3570000000009</v>
      </c>
      <c r="E9" s="915">
        <v>0.5</v>
      </c>
      <c r="F9" s="734">
        <f>D9*(1-E9)</f>
        <v>2897.1785000000004</v>
      </c>
      <c r="G9" s="895">
        <v>42</v>
      </c>
      <c r="H9" s="898">
        <v>0.5</v>
      </c>
      <c r="J9" s="893" t="s">
        <v>1670</v>
      </c>
      <c r="K9" s="305" t="s">
        <v>877</v>
      </c>
    </row>
    <row r="10" spans="1:27" s="1" customFormat="1" outlineLevel="1" x14ac:dyDescent="0.25">
      <c r="B10" s="671" t="s">
        <v>577</v>
      </c>
      <c r="C10" s="915">
        <v>0.05</v>
      </c>
      <c r="D10" s="734">
        <f>C10*'HO1'!D14</f>
        <v>6267.9549999999981</v>
      </c>
      <c r="E10" s="915">
        <v>0.5</v>
      </c>
      <c r="F10" s="734">
        <f t="shared" ref="F10:F14" si="0">D10*(1-E10)</f>
        <v>3133.9774999999991</v>
      </c>
      <c r="G10" s="895">
        <v>46.2</v>
      </c>
      <c r="H10" s="898">
        <v>0.5</v>
      </c>
      <c r="J10" s="892" t="s">
        <v>878</v>
      </c>
      <c r="K10" s="305" t="s">
        <v>1669</v>
      </c>
    </row>
    <row r="11" spans="1:27" s="1" customFormat="1" outlineLevel="1" x14ac:dyDescent="0.25">
      <c r="B11" s="671" t="s">
        <v>578</v>
      </c>
      <c r="C11" s="915">
        <v>0.1</v>
      </c>
      <c r="D11" s="734">
        <f>C11*'HO1'!D15</f>
        <v>25175.320000000011</v>
      </c>
      <c r="E11" s="915">
        <v>0</v>
      </c>
      <c r="F11" s="734">
        <f t="shared" si="0"/>
        <v>25175.320000000011</v>
      </c>
      <c r="G11" s="895">
        <v>72.5</v>
      </c>
      <c r="H11" s="898">
        <v>0.5</v>
      </c>
      <c r="J11" s="892" t="s">
        <v>1671</v>
      </c>
      <c r="K11" s="228">
        <v>1234</v>
      </c>
    </row>
    <row r="12" spans="1:27" s="1" customFormat="1" outlineLevel="1" x14ac:dyDescent="0.25">
      <c r="B12" s="671" t="s">
        <v>579</v>
      </c>
      <c r="C12" s="915">
        <v>0.01</v>
      </c>
      <c r="D12" s="734">
        <f>C12*'HO1'!D16</f>
        <v>5926.9289999999992</v>
      </c>
      <c r="E12" s="915">
        <v>0</v>
      </c>
      <c r="F12" s="734">
        <f t="shared" si="0"/>
        <v>5926.9289999999992</v>
      </c>
      <c r="G12" s="895">
        <v>79</v>
      </c>
      <c r="H12" s="898">
        <v>0.5</v>
      </c>
    </row>
    <row r="13" spans="1:27" s="1" customFormat="1" outlineLevel="1" x14ac:dyDescent="0.25">
      <c r="B13" s="671" t="s">
        <v>580</v>
      </c>
      <c r="C13" s="915">
        <v>3</v>
      </c>
      <c r="D13" s="734">
        <f>C13*'HO1'!D17</f>
        <v>103667.1</v>
      </c>
      <c r="E13" s="915">
        <v>0</v>
      </c>
      <c r="F13" s="734">
        <f t="shared" si="0"/>
        <v>103667.1</v>
      </c>
      <c r="G13" s="895">
        <v>79</v>
      </c>
      <c r="H13" s="898">
        <v>0.5</v>
      </c>
    </row>
    <row r="14" spans="1:27" s="1" customFormat="1" outlineLevel="1" x14ac:dyDescent="0.25">
      <c r="B14" s="671" t="s">
        <v>581</v>
      </c>
      <c r="C14" s="915">
        <v>0.05</v>
      </c>
      <c r="D14" s="734">
        <f>C14*'HO1'!D18</f>
        <v>3213.0949999999989</v>
      </c>
      <c r="E14" s="915">
        <v>0.5</v>
      </c>
      <c r="F14" s="734">
        <f t="shared" si="0"/>
        <v>1606.5474999999994</v>
      </c>
      <c r="G14" s="895">
        <v>25</v>
      </c>
      <c r="H14" s="898">
        <v>0.5</v>
      </c>
    </row>
    <row r="15" spans="1:27" s="1" customFormat="1" outlineLevel="1" x14ac:dyDescent="0.25">
      <c r="B15" s="678" t="s">
        <v>445</v>
      </c>
      <c r="C15" s="735"/>
      <c r="D15" s="736">
        <f>SUM(D9:D14)</f>
        <v>150044.75600000002</v>
      </c>
      <c r="E15" s="735"/>
      <c r="F15" s="737"/>
      <c r="G15" s="738" t="s">
        <v>944</v>
      </c>
      <c r="H15" s="739" t="s">
        <v>945</v>
      </c>
    </row>
    <row r="16" spans="1:27" s="1" customFormat="1" outlineLevel="1" x14ac:dyDescent="0.25">
      <c r="B16" s="155"/>
      <c r="C16" s="231"/>
    </row>
    <row r="17" spans="1:34" s="1" customFormat="1" outlineLevel="1" x14ac:dyDescent="0.25">
      <c r="B17" s="155" t="s">
        <v>946</v>
      </c>
      <c r="C17" s="916">
        <v>0.5</v>
      </c>
      <c r="D17" s="325" t="s">
        <v>892</v>
      </c>
    </row>
    <row r="18" spans="1:34" s="1" customFormat="1" outlineLevel="1" x14ac:dyDescent="0.25">
      <c r="B18" s="155" t="s">
        <v>947</v>
      </c>
      <c r="C18" s="917">
        <v>1000</v>
      </c>
      <c r="D18" s="325" t="s">
        <v>948</v>
      </c>
      <c r="E18" s="262"/>
      <c r="F18" s="155"/>
    </row>
    <row r="19" spans="1:34" s="1" customFormat="1" x14ac:dyDescent="0.25">
      <c r="B19" s="232"/>
      <c r="C19" s="232"/>
      <c r="D19" s="228"/>
      <c r="E19" s="228"/>
    </row>
    <row r="20" spans="1:34" x14ac:dyDescent="0.25">
      <c r="A20" s="1"/>
      <c r="B20" s="659" t="s">
        <v>895</v>
      </c>
      <c r="C20" s="659"/>
      <c r="D20" s="659"/>
      <c r="E20" s="659"/>
      <c r="F20" s="659"/>
      <c r="G20" s="659"/>
      <c r="H20" s="659"/>
      <c r="I20" s="659"/>
      <c r="J20" s="659"/>
      <c r="K20" s="659"/>
      <c r="L20" s="659"/>
      <c r="P20" s="1"/>
      <c r="Q20" s="1"/>
      <c r="R20" s="1"/>
      <c r="S20" s="1"/>
      <c r="T20" s="1"/>
      <c r="U20" s="1"/>
      <c r="V20" s="1"/>
      <c r="W20" s="1"/>
      <c r="X20" s="1"/>
      <c r="Y20" s="1"/>
      <c r="Z20" s="1"/>
      <c r="AA20" s="1"/>
      <c r="AB20" s="1"/>
      <c r="AC20" s="1"/>
      <c r="AD20" s="1"/>
      <c r="AE20" s="1"/>
      <c r="AF20" s="1"/>
      <c r="AG20" s="1"/>
      <c r="AH20" s="1"/>
    </row>
    <row r="21" spans="1:34" s="1" customFormat="1" ht="9.75" customHeight="1" outlineLevel="1" x14ac:dyDescent="0.25"/>
    <row r="22" spans="1:34" s="1" customFormat="1" outlineLevel="1" x14ac:dyDescent="0.25">
      <c r="B22" s="13" t="s">
        <v>896</v>
      </c>
      <c r="D22" s="234"/>
      <c r="E22" s="284" t="s">
        <v>897</v>
      </c>
    </row>
    <row r="23" spans="1:34" s="1" customFormat="1" ht="15" customHeight="1" outlineLevel="1" x14ac:dyDescent="0.25">
      <c r="B23" s="660" t="s">
        <v>898</v>
      </c>
      <c r="C23" s="665" t="s">
        <v>899</v>
      </c>
      <c r="E23" s="661"/>
      <c r="F23" s="662" t="s">
        <v>900</v>
      </c>
    </row>
    <row r="24" spans="1:34" s="1" customFormat="1" ht="15" customHeight="1" outlineLevel="1" x14ac:dyDescent="0.25">
      <c r="B24" s="663" t="s">
        <v>398</v>
      </c>
      <c r="C24" s="666">
        <v>0</v>
      </c>
      <c r="E24" s="663">
        <v>2030</v>
      </c>
      <c r="F24" s="664">
        <f>G48</f>
        <v>231.17518502083337</v>
      </c>
    </row>
    <row r="25" spans="1:34" s="1" customFormat="1" ht="15" customHeight="1" outlineLevel="1" x14ac:dyDescent="0.25">
      <c r="B25" s="155" t="s">
        <v>399</v>
      </c>
      <c r="C25" s="667">
        <v>0</v>
      </c>
      <c r="E25" s="155">
        <v>2035</v>
      </c>
      <c r="F25" s="296">
        <f>L48</f>
        <v>231.17518502083337</v>
      </c>
    </row>
    <row r="26" spans="1:34" s="1" customFormat="1" ht="15" customHeight="1" outlineLevel="1" x14ac:dyDescent="0.25">
      <c r="B26" s="663" t="s">
        <v>400</v>
      </c>
      <c r="C26" s="666">
        <f>SUM(C43:AA43)/25/1000</f>
        <v>-0.30550813999999976</v>
      </c>
      <c r="D26" s="261"/>
      <c r="E26" s="663">
        <v>2040</v>
      </c>
      <c r="F26" s="664">
        <f>Q48</f>
        <v>231.17518502083337</v>
      </c>
    </row>
    <row r="27" spans="1:34" s="1" customFormat="1" outlineLevel="1" x14ac:dyDescent="0.25">
      <c r="B27" s="155" t="s">
        <v>401</v>
      </c>
      <c r="C27" s="667">
        <f>C26</f>
        <v>-0.30550813999999976</v>
      </c>
      <c r="D27" s="261"/>
      <c r="E27" s="155">
        <v>2045</v>
      </c>
      <c r="F27" s="296">
        <f>V48</f>
        <v>231.17518502083337</v>
      </c>
    </row>
    <row r="28" spans="1:34" s="1" customFormat="1" ht="15" customHeight="1" outlineLevel="1" x14ac:dyDescent="0.25">
      <c r="B28" s="663" t="s">
        <v>901</v>
      </c>
      <c r="C28" s="670">
        <f>MAX(C48:AQ48)</f>
        <v>231.17518502083337</v>
      </c>
      <c r="D28" s="261"/>
      <c r="E28" s="663">
        <v>2050</v>
      </c>
      <c r="F28" s="664">
        <f>AA48</f>
        <v>231.17518502083337</v>
      </c>
    </row>
    <row r="29" spans="1:34" s="1" customFormat="1" ht="15" customHeight="1" outlineLevel="1" x14ac:dyDescent="0.25">
      <c r="B29" s="155" t="s">
        <v>902</v>
      </c>
      <c r="C29" s="428" t="s">
        <v>949</v>
      </c>
      <c r="D29" s="261"/>
      <c r="E29" s="228"/>
    </row>
    <row r="30" spans="1:34" s="1" customFormat="1" outlineLevel="1" x14ac:dyDescent="0.25">
      <c r="B30" s="663" t="s">
        <v>403</v>
      </c>
      <c r="C30" s="670">
        <f>SUM(C43:AU43)*1000/SUM(C48:AU48)</f>
        <v>-1376.6081588932389</v>
      </c>
      <c r="D30" s="261"/>
      <c r="E30" s="228"/>
    </row>
    <row r="31" spans="1:34" s="1" customFormat="1" outlineLevel="1" x14ac:dyDescent="0.25">
      <c r="B31" s="13"/>
      <c r="C31" s="236"/>
    </row>
    <row r="32" spans="1:34" s="1" customFormat="1" outlineLevel="1" x14ac:dyDescent="0.25">
      <c r="B32" s="284" t="s">
        <v>903</v>
      </c>
      <c r="D32" s="43"/>
      <c r="E32" s="7"/>
      <c r="I32" s="277" t="s">
        <v>876</v>
      </c>
    </row>
    <row r="33" spans="1:47" s="1" customFormat="1" outlineLevel="1" x14ac:dyDescent="0.25">
      <c r="A33" s="33"/>
      <c r="B33" s="155" t="s">
        <v>904</v>
      </c>
      <c r="C33" s="307" t="s">
        <v>905</v>
      </c>
      <c r="D33" s="12"/>
      <c r="E33" s="12"/>
      <c r="F33" s="12"/>
      <c r="G33" s="12"/>
      <c r="H33" s="12"/>
      <c r="I33" s="311" t="s">
        <v>474</v>
      </c>
      <c r="J33" s="295" t="s">
        <v>906</v>
      </c>
      <c r="L33" s="273"/>
      <c r="O33" s="239"/>
    </row>
    <row r="34" spans="1:47" s="1" customFormat="1" ht="16.5" customHeight="1" outlineLevel="1" x14ac:dyDescent="0.25">
      <c r="A34" s="33">
        <v>1</v>
      </c>
      <c r="B34" s="155" t="s">
        <v>907</v>
      </c>
      <c r="C34" s="307" t="s">
        <v>474</v>
      </c>
      <c r="D34" s="397">
        <f>IF(C34="Kõrge",3,IF(C34="Mõõdukas",2,1))</f>
        <v>3</v>
      </c>
      <c r="E34" s="12"/>
      <c r="F34" s="12"/>
      <c r="G34" s="12"/>
      <c r="H34" s="12"/>
      <c r="I34" s="312" t="s">
        <v>905</v>
      </c>
      <c r="J34" s="295" t="s">
        <v>908</v>
      </c>
      <c r="L34" s="273"/>
      <c r="O34" s="240"/>
    </row>
    <row r="35" spans="1:47" s="1" customFormat="1" ht="16.5" customHeight="1" outlineLevel="1" x14ac:dyDescent="0.25">
      <c r="A35" s="33"/>
      <c r="B35" s="155" t="s">
        <v>909</v>
      </c>
      <c r="C35" s="307" t="s">
        <v>910</v>
      </c>
      <c r="D35" s="397">
        <f>IF(C35="Kõrge",3,IF(C35="Mõõdukas",2,1))</f>
        <v>1</v>
      </c>
      <c r="E35" s="12"/>
      <c r="F35" s="12"/>
      <c r="I35" s="313" t="s">
        <v>910</v>
      </c>
      <c r="J35" s="295" t="s">
        <v>911</v>
      </c>
      <c r="L35" s="233"/>
      <c r="O35" s="237"/>
    </row>
    <row r="36" spans="1:47" s="1" customFormat="1" x14ac:dyDescent="0.25">
      <c r="A36" s="33"/>
      <c r="B36" s="143"/>
      <c r="C36" s="399" t="s">
        <v>912</v>
      </c>
      <c r="D36" s="398">
        <f>D35+D34</f>
        <v>4</v>
      </c>
      <c r="H36" s="233"/>
      <c r="I36" s="233"/>
      <c r="O36" s="239"/>
    </row>
    <row r="37" spans="1:47" x14ac:dyDescent="0.25">
      <c r="A37" s="1"/>
      <c r="B37" s="659" t="s">
        <v>913</v>
      </c>
      <c r="C37" s="659"/>
      <c r="D37" s="659"/>
      <c r="E37" s="659"/>
      <c r="F37" s="659"/>
      <c r="G37" s="659"/>
      <c r="H37" s="659"/>
      <c r="I37" s="659"/>
      <c r="J37" s="659"/>
      <c r="K37" s="659"/>
      <c r="L37" s="659"/>
      <c r="M37" s="659"/>
      <c r="N37" s="659"/>
      <c r="O37" s="659"/>
      <c r="P37" s="659"/>
      <c r="Q37" s="659"/>
      <c r="R37" s="659"/>
      <c r="S37" s="659"/>
      <c r="T37" s="659"/>
      <c r="U37" s="659"/>
      <c r="V37" s="659"/>
      <c r="W37" s="659"/>
      <c r="X37" s="659"/>
      <c r="Y37" s="659"/>
      <c r="Z37" s="659"/>
      <c r="AA37" s="659"/>
      <c r="AB37" s="659"/>
      <c r="AC37" s="659"/>
      <c r="AD37" s="659"/>
      <c r="AE37" s="659"/>
      <c r="AF37" s="659"/>
      <c r="AG37" s="659"/>
      <c r="AH37" s="659"/>
      <c r="AI37" s="659"/>
      <c r="AJ37" s="659"/>
      <c r="AK37" s="659"/>
      <c r="AL37" s="659"/>
      <c r="AM37" s="659"/>
      <c r="AN37" s="659"/>
      <c r="AO37" s="659"/>
      <c r="AP37" s="659"/>
      <c r="AQ37" s="659"/>
      <c r="AR37" s="659"/>
      <c r="AS37" s="659"/>
      <c r="AT37" s="659"/>
      <c r="AU37" s="659"/>
    </row>
    <row r="38" spans="1:47" s="15" customFormat="1" ht="7.5" customHeight="1" outlineLevel="1" x14ac:dyDescent="0.25"/>
    <row r="39" spans="1:47" s="15" customFormat="1" ht="13.5" outlineLevel="1" x14ac:dyDescent="0.25">
      <c r="B39" s="715" t="s">
        <v>914</v>
      </c>
      <c r="C39" s="432">
        <v>2026</v>
      </c>
      <c r="D39" s="432">
        <f>C39+1</f>
        <v>2027</v>
      </c>
      <c r="E39" s="432">
        <f t="shared" ref="E39:AU39" si="1">D39+1</f>
        <v>2028</v>
      </c>
      <c r="F39" s="432">
        <f t="shared" si="1"/>
        <v>2029</v>
      </c>
      <c r="G39" s="432">
        <f t="shared" si="1"/>
        <v>2030</v>
      </c>
      <c r="H39" s="432">
        <f t="shared" si="1"/>
        <v>2031</v>
      </c>
      <c r="I39" s="432">
        <f t="shared" si="1"/>
        <v>2032</v>
      </c>
      <c r="J39" s="432">
        <f t="shared" si="1"/>
        <v>2033</v>
      </c>
      <c r="K39" s="432">
        <f t="shared" si="1"/>
        <v>2034</v>
      </c>
      <c r="L39" s="432">
        <f t="shared" si="1"/>
        <v>2035</v>
      </c>
      <c r="M39" s="432">
        <f t="shared" si="1"/>
        <v>2036</v>
      </c>
      <c r="N39" s="432">
        <f t="shared" si="1"/>
        <v>2037</v>
      </c>
      <c r="O39" s="432">
        <f t="shared" si="1"/>
        <v>2038</v>
      </c>
      <c r="P39" s="432">
        <f t="shared" si="1"/>
        <v>2039</v>
      </c>
      <c r="Q39" s="432">
        <f t="shared" si="1"/>
        <v>2040</v>
      </c>
      <c r="R39" s="432">
        <f t="shared" si="1"/>
        <v>2041</v>
      </c>
      <c r="S39" s="432">
        <f t="shared" si="1"/>
        <v>2042</v>
      </c>
      <c r="T39" s="432">
        <f t="shared" si="1"/>
        <v>2043</v>
      </c>
      <c r="U39" s="432">
        <f t="shared" si="1"/>
        <v>2044</v>
      </c>
      <c r="V39" s="432">
        <f t="shared" si="1"/>
        <v>2045</v>
      </c>
      <c r="W39" s="432">
        <f t="shared" si="1"/>
        <v>2046</v>
      </c>
      <c r="X39" s="432">
        <f t="shared" si="1"/>
        <v>2047</v>
      </c>
      <c r="Y39" s="432">
        <f t="shared" si="1"/>
        <v>2048</v>
      </c>
      <c r="Z39" s="432">
        <f t="shared" si="1"/>
        <v>2049</v>
      </c>
      <c r="AA39" s="432">
        <f t="shared" si="1"/>
        <v>2050</v>
      </c>
      <c r="AB39" s="432">
        <f t="shared" si="1"/>
        <v>2051</v>
      </c>
      <c r="AC39" s="432">
        <f t="shared" si="1"/>
        <v>2052</v>
      </c>
      <c r="AD39" s="432">
        <f t="shared" si="1"/>
        <v>2053</v>
      </c>
      <c r="AE39" s="432">
        <f t="shared" si="1"/>
        <v>2054</v>
      </c>
      <c r="AF39" s="432">
        <f t="shared" si="1"/>
        <v>2055</v>
      </c>
      <c r="AG39" s="432">
        <f t="shared" si="1"/>
        <v>2056</v>
      </c>
      <c r="AH39" s="432">
        <f t="shared" si="1"/>
        <v>2057</v>
      </c>
      <c r="AI39" s="432">
        <f t="shared" si="1"/>
        <v>2058</v>
      </c>
      <c r="AJ39" s="432">
        <f t="shared" si="1"/>
        <v>2059</v>
      </c>
      <c r="AK39" s="432">
        <f t="shared" si="1"/>
        <v>2060</v>
      </c>
      <c r="AL39" s="432">
        <f t="shared" si="1"/>
        <v>2061</v>
      </c>
      <c r="AM39" s="432">
        <f t="shared" si="1"/>
        <v>2062</v>
      </c>
      <c r="AN39" s="432">
        <f t="shared" si="1"/>
        <v>2063</v>
      </c>
      <c r="AO39" s="432">
        <f t="shared" si="1"/>
        <v>2064</v>
      </c>
      <c r="AP39" s="432">
        <f t="shared" si="1"/>
        <v>2065</v>
      </c>
      <c r="AQ39" s="432">
        <f t="shared" si="1"/>
        <v>2066</v>
      </c>
      <c r="AR39" s="432">
        <f t="shared" si="1"/>
        <v>2067</v>
      </c>
      <c r="AS39" s="432">
        <f t="shared" si="1"/>
        <v>2068</v>
      </c>
      <c r="AT39" s="432">
        <f t="shared" si="1"/>
        <v>2069</v>
      </c>
      <c r="AU39" s="716">
        <f t="shared" si="1"/>
        <v>2070</v>
      </c>
    </row>
    <row r="40" spans="1:47" s="15" customFormat="1" ht="13.5" outlineLevel="1" x14ac:dyDescent="0.25">
      <c r="B40" s="723" t="s">
        <v>950</v>
      </c>
      <c r="C40" s="697">
        <v>0</v>
      </c>
      <c r="D40" s="697">
        <f t="shared" ref="D40:AU40" si="2">IF(D41&gt;0,1,0)</f>
        <v>1</v>
      </c>
      <c r="E40" s="697">
        <f t="shared" si="2"/>
        <v>1</v>
      </c>
      <c r="F40" s="697">
        <f t="shared" si="2"/>
        <v>1</v>
      </c>
      <c r="G40" s="697">
        <f t="shared" si="2"/>
        <v>1</v>
      </c>
      <c r="H40" s="697">
        <f t="shared" si="2"/>
        <v>1</v>
      </c>
      <c r="I40" s="697">
        <f t="shared" si="2"/>
        <v>1</v>
      </c>
      <c r="J40" s="697">
        <f t="shared" si="2"/>
        <v>1</v>
      </c>
      <c r="K40" s="697">
        <f t="shared" si="2"/>
        <v>1</v>
      </c>
      <c r="L40" s="697">
        <f t="shared" si="2"/>
        <v>1</v>
      </c>
      <c r="M40" s="697">
        <f t="shared" si="2"/>
        <v>1</v>
      </c>
      <c r="N40" s="697">
        <f t="shared" si="2"/>
        <v>1</v>
      </c>
      <c r="O40" s="697">
        <f t="shared" si="2"/>
        <v>1</v>
      </c>
      <c r="P40" s="697">
        <f t="shared" si="2"/>
        <v>1</v>
      </c>
      <c r="Q40" s="697">
        <f t="shared" si="2"/>
        <v>1</v>
      </c>
      <c r="R40" s="697">
        <f t="shared" si="2"/>
        <v>1</v>
      </c>
      <c r="S40" s="697">
        <f t="shared" si="2"/>
        <v>1</v>
      </c>
      <c r="T40" s="697">
        <f t="shared" si="2"/>
        <v>1</v>
      </c>
      <c r="U40" s="697">
        <f t="shared" si="2"/>
        <v>1</v>
      </c>
      <c r="V40" s="697">
        <f t="shared" si="2"/>
        <v>1</v>
      </c>
      <c r="W40" s="697">
        <f t="shared" si="2"/>
        <v>1</v>
      </c>
      <c r="X40" s="697">
        <f t="shared" si="2"/>
        <v>1</v>
      </c>
      <c r="Y40" s="697">
        <f t="shared" si="2"/>
        <v>1</v>
      </c>
      <c r="Z40" s="697">
        <f t="shared" si="2"/>
        <v>1</v>
      </c>
      <c r="AA40" s="697">
        <f t="shared" si="2"/>
        <v>1</v>
      </c>
      <c r="AB40" s="697">
        <f t="shared" si="2"/>
        <v>0</v>
      </c>
      <c r="AC40" s="697">
        <f t="shared" si="2"/>
        <v>0</v>
      </c>
      <c r="AD40" s="697">
        <f t="shared" si="2"/>
        <v>0</v>
      </c>
      <c r="AE40" s="697">
        <f t="shared" si="2"/>
        <v>0</v>
      </c>
      <c r="AF40" s="697">
        <f t="shared" si="2"/>
        <v>0</v>
      </c>
      <c r="AG40" s="697">
        <f t="shared" si="2"/>
        <v>0</v>
      </c>
      <c r="AH40" s="697">
        <f t="shared" si="2"/>
        <v>0</v>
      </c>
      <c r="AI40" s="697">
        <f t="shared" si="2"/>
        <v>0</v>
      </c>
      <c r="AJ40" s="697">
        <f t="shared" si="2"/>
        <v>0</v>
      </c>
      <c r="AK40" s="697">
        <f t="shared" si="2"/>
        <v>0</v>
      </c>
      <c r="AL40" s="697">
        <f t="shared" si="2"/>
        <v>0</v>
      </c>
      <c r="AM40" s="697">
        <f t="shared" si="2"/>
        <v>0</v>
      </c>
      <c r="AN40" s="697">
        <f t="shared" si="2"/>
        <v>0</v>
      </c>
      <c r="AO40" s="697">
        <f t="shared" si="2"/>
        <v>0</v>
      </c>
      <c r="AP40" s="697">
        <f t="shared" si="2"/>
        <v>0</v>
      </c>
      <c r="AQ40" s="697">
        <f t="shared" si="2"/>
        <v>0</v>
      </c>
      <c r="AR40" s="697">
        <f t="shared" si="2"/>
        <v>0</v>
      </c>
      <c r="AS40" s="697">
        <f t="shared" si="2"/>
        <v>0</v>
      </c>
      <c r="AT40" s="697">
        <f t="shared" si="2"/>
        <v>0</v>
      </c>
      <c r="AU40" s="746">
        <f t="shared" si="2"/>
        <v>0</v>
      </c>
    </row>
    <row r="41" spans="1:47" s="15" customFormat="1" ht="13.5" outlineLevel="1" x14ac:dyDescent="0.25">
      <c r="B41" s="723" t="s">
        <v>915</v>
      </c>
      <c r="C41" s="724">
        <v>0</v>
      </c>
      <c r="D41" s="724">
        <f>IF(D39&gt;2050,0,SUMPRODUCT($D$9:$D$14,$E$9:$E$14))/24</f>
        <v>318.23764583333326</v>
      </c>
      <c r="E41" s="724">
        <f t="shared" ref="E41:AU41" si="3">IF(E39&gt;2050,0,SUMPRODUCT($D$9:$D$14,$E$9:$E$14))/24</f>
        <v>318.23764583333326</v>
      </c>
      <c r="F41" s="724">
        <f t="shared" si="3"/>
        <v>318.23764583333326</v>
      </c>
      <c r="G41" s="724">
        <f t="shared" si="3"/>
        <v>318.23764583333326</v>
      </c>
      <c r="H41" s="724">
        <f t="shared" si="3"/>
        <v>318.23764583333326</v>
      </c>
      <c r="I41" s="724">
        <f t="shared" si="3"/>
        <v>318.23764583333326</v>
      </c>
      <c r="J41" s="724">
        <f t="shared" si="3"/>
        <v>318.23764583333326</v>
      </c>
      <c r="K41" s="724">
        <f t="shared" si="3"/>
        <v>318.23764583333326</v>
      </c>
      <c r="L41" s="724">
        <f t="shared" si="3"/>
        <v>318.23764583333326</v>
      </c>
      <c r="M41" s="724">
        <f t="shared" si="3"/>
        <v>318.23764583333326</v>
      </c>
      <c r="N41" s="724">
        <f t="shared" si="3"/>
        <v>318.23764583333326</v>
      </c>
      <c r="O41" s="724">
        <f t="shared" si="3"/>
        <v>318.23764583333326</v>
      </c>
      <c r="P41" s="724">
        <f t="shared" si="3"/>
        <v>318.23764583333326</v>
      </c>
      <c r="Q41" s="724">
        <f t="shared" si="3"/>
        <v>318.23764583333326</v>
      </c>
      <c r="R41" s="724">
        <f t="shared" si="3"/>
        <v>318.23764583333326</v>
      </c>
      <c r="S41" s="724">
        <f t="shared" si="3"/>
        <v>318.23764583333326</v>
      </c>
      <c r="T41" s="724">
        <f t="shared" si="3"/>
        <v>318.23764583333326</v>
      </c>
      <c r="U41" s="724">
        <f t="shared" si="3"/>
        <v>318.23764583333326</v>
      </c>
      <c r="V41" s="724">
        <f t="shared" si="3"/>
        <v>318.23764583333326</v>
      </c>
      <c r="W41" s="724">
        <f t="shared" si="3"/>
        <v>318.23764583333326</v>
      </c>
      <c r="X41" s="724">
        <f t="shared" si="3"/>
        <v>318.23764583333326</v>
      </c>
      <c r="Y41" s="724">
        <f t="shared" si="3"/>
        <v>318.23764583333326</v>
      </c>
      <c r="Z41" s="724">
        <f t="shared" si="3"/>
        <v>318.23764583333326</v>
      </c>
      <c r="AA41" s="724">
        <f t="shared" si="3"/>
        <v>318.23764583333326</v>
      </c>
      <c r="AB41" s="724">
        <f t="shared" si="3"/>
        <v>0</v>
      </c>
      <c r="AC41" s="724">
        <f t="shared" si="3"/>
        <v>0</v>
      </c>
      <c r="AD41" s="724">
        <f t="shared" si="3"/>
        <v>0</v>
      </c>
      <c r="AE41" s="724">
        <f t="shared" si="3"/>
        <v>0</v>
      </c>
      <c r="AF41" s="724">
        <f t="shared" si="3"/>
        <v>0</v>
      </c>
      <c r="AG41" s="724">
        <f t="shared" si="3"/>
        <v>0</v>
      </c>
      <c r="AH41" s="724">
        <f t="shared" si="3"/>
        <v>0</v>
      </c>
      <c r="AI41" s="724">
        <f t="shared" si="3"/>
        <v>0</v>
      </c>
      <c r="AJ41" s="724">
        <f t="shared" si="3"/>
        <v>0</v>
      </c>
      <c r="AK41" s="724">
        <f t="shared" si="3"/>
        <v>0</v>
      </c>
      <c r="AL41" s="724">
        <f t="shared" si="3"/>
        <v>0</v>
      </c>
      <c r="AM41" s="724">
        <f t="shared" si="3"/>
        <v>0</v>
      </c>
      <c r="AN41" s="724">
        <f t="shared" si="3"/>
        <v>0</v>
      </c>
      <c r="AO41" s="724">
        <f t="shared" si="3"/>
        <v>0</v>
      </c>
      <c r="AP41" s="724">
        <f t="shared" si="3"/>
        <v>0</v>
      </c>
      <c r="AQ41" s="724">
        <f t="shared" si="3"/>
        <v>0</v>
      </c>
      <c r="AR41" s="724">
        <f t="shared" si="3"/>
        <v>0</v>
      </c>
      <c r="AS41" s="724">
        <f t="shared" si="3"/>
        <v>0</v>
      </c>
      <c r="AT41" s="724">
        <f t="shared" si="3"/>
        <v>0</v>
      </c>
      <c r="AU41" s="725">
        <f t="shared" si="3"/>
        <v>0</v>
      </c>
    </row>
    <row r="42" spans="1:47" s="15" customFormat="1" ht="13.5" outlineLevel="1" x14ac:dyDescent="0.25">
      <c r="B42" s="723" t="s">
        <v>951</v>
      </c>
      <c r="C42" s="724"/>
      <c r="D42" s="724">
        <f>IF(D39&gt;2050,0,$D$15/24-D41)</f>
        <v>5933.6271875000011</v>
      </c>
      <c r="E42" s="724">
        <f t="shared" ref="E42:AU42" si="4">IF(E39&gt;2050,0,$D$15/24-E41)</f>
        <v>5933.6271875000011</v>
      </c>
      <c r="F42" s="724">
        <f t="shared" si="4"/>
        <v>5933.6271875000011</v>
      </c>
      <c r="G42" s="724">
        <f t="shared" si="4"/>
        <v>5933.6271875000011</v>
      </c>
      <c r="H42" s="724">
        <f t="shared" si="4"/>
        <v>5933.6271875000011</v>
      </c>
      <c r="I42" s="724">
        <f t="shared" si="4"/>
        <v>5933.6271875000011</v>
      </c>
      <c r="J42" s="724">
        <f t="shared" si="4"/>
        <v>5933.6271875000011</v>
      </c>
      <c r="K42" s="724">
        <f t="shared" si="4"/>
        <v>5933.6271875000011</v>
      </c>
      <c r="L42" s="724">
        <f t="shared" si="4"/>
        <v>5933.6271875000011</v>
      </c>
      <c r="M42" s="724">
        <f t="shared" si="4"/>
        <v>5933.6271875000011</v>
      </c>
      <c r="N42" s="724">
        <f t="shared" si="4"/>
        <v>5933.6271875000011</v>
      </c>
      <c r="O42" s="724">
        <f t="shared" si="4"/>
        <v>5933.6271875000011</v>
      </c>
      <c r="P42" s="724">
        <f t="shared" si="4"/>
        <v>5933.6271875000011</v>
      </c>
      <c r="Q42" s="724">
        <f t="shared" si="4"/>
        <v>5933.6271875000011</v>
      </c>
      <c r="R42" s="724">
        <f t="shared" si="4"/>
        <v>5933.6271875000011</v>
      </c>
      <c r="S42" s="724">
        <f t="shared" si="4"/>
        <v>5933.6271875000011</v>
      </c>
      <c r="T42" s="724">
        <f t="shared" si="4"/>
        <v>5933.6271875000011</v>
      </c>
      <c r="U42" s="724">
        <f t="shared" si="4"/>
        <v>5933.6271875000011</v>
      </c>
      <c r="V42" s="724">
        <f t="shared" si="4"/>
        <v>5933.6271875000011</v>
      </c>
      <c r="W42" s="724">
        <f t="shared" si="4"/>
        <v>5933.6271875000011</v>
      </c>
      <c r="X42" s="724">
        <f t="shared" si="4"/>
        <v>5933.6271875000011</v>
      </c>
      <c r="Y42" s="724">
        <f t="shared" si="4"/>
        <v>5933.6271875000011</v>
      </c>
      <c r="Z42" s="724">
        <f t="shared" si="4"/>
        <v>5933.6271875000011</v>
      </c>
      <c r="AA42" s="724">
        <f t="shared" si="4"/>
        <v>5933.6271875000011</v>
      </c>
      <c r="AB42" s="724">
        <f t="shared" si="4"/>
        <v>0</v>
      </c>
      <c r="AC42" s="724">
        <f t="shared" si="4"/>
        <v>0</v>
      </c>
      <c r="AD42" s="724">
        <f t="shared" si="4"/>
        <v>0</v>
      </c>
      <c r="AE42" s="724">
        <f t="shared" si="4"/>
        <v>0</v>
      </c>
      <c r="AF42" s="724">
        <f t="shared" si="4"/>
        <v>0</v>
      </c>
      <c r="AG42" s="724">
        <f t="shared" si="4"/>
        <v>0</v>
      </c>
      <c r="AH42" s="724">
        <f t="shared" si="4"/>
        <v>0</v>
      </c>
      <c r="AI42" s="724">
        <f t="shared" si="4"/>
        <v>0</v>
      </c>
      <c r="AJ42" s="724">
        <f t="shared" si="4"/>
        <v>0</v>
      </c>
      <c r="AK42" s="724">
        <f t="shared" si="4"/>
        <v>0</v>
      </c>
      <c r="AL42" s="724">
        <f t="shared" si="4"/>
        <v>0</v>
      </c>
      <c r="AM42" s="724">
        <f t="shared" si="4"/>
        <v>0</v>
      </c>
      <c r="AN42" s="724">
        <f t="shared" si="4"/>
        <v>0</v>
      </c>
      <c r="AO42" s="724">
        <f t="shared" si="4"/>
        <v>0</v>
      </c>
      <c r="AP42" s="724">
        <f t="shared" si="4"/>
        <v>0</v>
      </c>
      <c r="AQ42" s="724">
        <f t="shared" si="4"/>
        <v>0</v>
      </c>
      <c r="AR42" s="724">
        <f t="shared" si="4"/>
        <v>0</v>
      </c>
      <c r="AS42" s="724">
        <f t="shared" si="4"/>
        <v>0</v>
      </c>
      <c r="AT42" s="724">
        <f t="shared" si="4"/>
        <v>0</v>
      </c>
      <c r="AU42" s="725">
        <f t="shared" si="4"/>
        <v>0</v>
      </c>
    </row>
    <row r="43" spans="1:47" s="39" customFormat="1" ht="13.5" outlineLevel="1" x14ac:dyDescent="0.25">
      <c r="B43" s="696" t="s">
        <v>952</v>
      </c>
      <c r="C43" s="729">
        <f>-C41*$C$18</f>
        <v>0</v>
      </c>
      <c r="D43" s="729">
        <f t="shared" ref="D43:AU43" si="5">-D41*$C$18/1000</f>
        <v>-318.23764583333326</v>
      </c>
      <c r="E43" s="729">
        <f t="shared" si="5"/>
        <v>-318.23764583333326</v>
      </c>
      <c r="F43" s="729">
        <f t="shared" si="5"/>
        <v>-318.23764583333326</v>
      </c>
      <c r="G43" s="729">
        <f t="shared" si="5"/>
        <v>-318.23764583333326</v>
      </c>
      <c r="H43" s="729">
        <f t="shared" si="5"/>
        <v>-318.23764583333326</v>
      </c>
      <c r="I43" s="729">
        <f t="shared" si="5"/>
        <v>-318.23764583333326</v>
      </c>
      <c r="J43" s="729">
        <f t="shared" si="5"/>
        <v>-318.23764583333326</v>
      </c>
      <c r="K43" s="729">
        <f t="shared" si="5"/>
        <v>-318.23764583333326</v>
      </c>
      <c r="L43" s="729">
        <f t="shared" si="5"/>
        <v>-318.23764583333326</v>
      </c>
      <c r="M43" s="729">
        <f t="shared" si="5"/>
        <v>-318.23764583333326</v>
      </c>
      <c r="N43" s="729">
        <f t="shared" si="5"/>
        <v>-318.23764583333326</v>
      </c>
      <c r="O43" s="729">
        <f t="shared" si="5"/>
        <v>-318.23764583333326</v>
      </c>
      <c r="P43" s="729">
        <f t="shared" si="5"/>
        <v>-318.23764583333326</v>
      </c>
      <c r="Q43" s="729">
        <f t="shared" si="5"/>
        <v>-318.23764583333326</v>
      </c>
      <c r="R43" s="729">
        <f t="shared" si="5"/>
        <v>-318.23764583333326</v>
      </c>
      <c r="S43" s="729">
        <f t="shared" si="5"/>
        <v>-318.23764583333326</v>
      </c>
      <c r="T43" s="729">
        <f t="shared" si="5"/>
        <v>-318.23764583333326</v>
      </c>
      <c r="U43" s="729">
        <f t="shared" si="5"/>
        <v>-318.23764583333326</v>
      </c>
      <c r="V43" s="729">
        <f t="shared" si="5"/>
        <v>-318.23764583333326</v>
      </c>
      <c r="W43" s="729">
        <f t="shared" si="5"/>
        <v>-318.23764583333326</v>
      </c>
      <c r="X43" s="729">
        <f t="shared" si="5"/>
        <v>-318.23764583333326</v>
      </c>
      <c r="Y43" s="729">
        <f t="shared" si="5"/>
        <v>-318.23764583333326</v>
      </c>
      <c r="Z43" s="729">
        <f t="shared" si="5"/>
        <v>-318.23764583333326</v>
      </c>
      <c r="AA43" s="729">
        <f t="shared" si="5"/>
        <v>-318.23764583333326</v>
      </c>
      <c r="AB43" s="729">
        <f t="shared" si="5"/>
        <v>0</v>
      </c>
      <c r="AC43" s="729">
        <f t="shared" si="5"/>
        <v>0</v>
      </c>
      <c r="AD43" s="729">
        <f t="shared" si="5"/>
        <v>0</v>
      </c>
      <c r="AE43" s="729">
        <f t="shared" si="5"/>
        <v>0</v>
      </c>
      <c r="AF43" s="729">
        <f t="shared" si="5"/>
        <v>0</v>
      </c>
      <c r="AG43" s="729">
        <f t="shared" si="5"/>
        <v>0</v>
      </c>
      <c r="AH43" s="729">
        <f t="shared" si="5"/>
        <v>0</v>
      </c>
      <c r="AI43" s="729">
        <f t="shared" si="5"/>
        <v>0</v>
      </c>
      <c r="AJ43" s="729">
        <f t="shared" si="5"/>
        <v>0</v>
      </c>
      <c r="AK43" s="729">
        <f t="shared" si="5"/>
        <v>0</v>
      </c>
      <c r="AL43" s="729">
        <f t="shared" si="5"/>
        <v>0</v>
      </c>
      <c r="AM43" s="729">
        <f t="shared" si="5"/>
        <v>0</v>
      </c>
      <c r="AN43" s="729">
        <f t="shared" si="5"/>
        <v>0</v>
      </c>
      <c r="AO43" s="729">
        <f t="shared" si="5"/>
        <v>0</v>
      </c>
      <c r="AP43" s="729">
        <f t="shared" si="5"/>
        <v>0</v>
      </c>
      <c r="AQ43" s="729">
        <f t="shared" si="5"/>
        <v>0</v>
      </c>
      <c r="AR43" s="729">
        <f t="shared" si="5"/>
        <v>0</v>
      </c>
      <c r="AS43" s="729">
        <f t="shared" si="5"/>
        <v>0</v>
      </c>
      <c r="AT43" s="729">
        <f t="shared" si="5"/>
        <v>0</v>
      </c>
      <c r="AU43" s="747">
        <f t="shared" si="5"/>
        <v>0</v>
      </c>
    </row>
    <row r="44" spans="1:47" s="15" customFormat="1" ht="13.5" outlineLevel="1" x14ac:dyDescent="0.25">
      <c r="B44" s="431"/>
      <c r="C44" s="719"/>
      <c r="D44" s="719"/>
      <c r="E44" s="719"/>
      <c r="F44" s="719"/>
      <c r="G44" s="719"/>
      <c r="H44" s="719"/>
      <c r="I44" s="719"/>
      <c r="J44" s="719"/>
      <c r="K44" s="719"/>
      <c r="L44" s="719"/>
      <c r="M44" s="719"/>
      <c r="N44" s="719"/>
      <c r="O44" s="719"/>
      <c r="P44" s="719"/>
      <c r="Q44" s="719"/>
      <c r="R44" s="719"/>
      <c r="S44" s="719"/>
      <c r="T44" s="719"/>
      <c r="U44" s="719"/>
      <c r="V44" s="719"/>
      <c r="W44" s="719"/>
      <c r="X44" s="719"/>
      <c r="Y44" s="719"/>
      <c r="Z44" s="719"/>
      <c r="AA44" s="719"/>
      <c r="AB44" s="719"/>
      <c r="AC44" s="719"/>
      <c r="AD44" s="719"/>
      <c r="AE44" s="719"/>
      <c r="AF44" s="719"/>
      <c r="AG44" s="719"/>
      <c r="AH44" s="719"/>
      <c r="AI44" s="719"/>
      <c r="AJ44" s="719"/>
      <c r="AK44" s="719"/>
      <c r="AL44" s="719"/>
      <c r="AM44" s="719"/>
      <c r="AN44" s="719"/>
      <c r="AO44" s="719"/>
      <c r="AP44" s="719"/>
      <c r="AQ44" s="719"/>
      <c r="AR44" s="719"/>
      <c r="AS44" s="719"/>
      <c r="AT44" s="719"/>
      <c r="AU44" s="434"/>
    </row>
    <row r="45" spans="1:47" s="15" customFormat="1" ht="13.5" outlineLevel="1" x14ac:dyDescent="0.25">
      <c r="B45" s="431" t="s">
        <v>953</v>
      </c>
      <c r="C45" s="744">
        <v>0</v>
      </c>
      <c r="D45" s="744">
        <f t="shared" ref="D45:AU45" si="6">SUMPRODUCT($D$9:$D$14,$G$9:$G$14,$E$9:$E$14)/1000/24*D40</f>
        <v>12.776456041666668</v>
      </c>
      <c r="E45" s="744">
        <f t="shared" si="6"/>
        <v>12.776456041666668</v>
      </c>
      <c r="F45" s="744">
        <f t="shared" si="6"/>
        <v>12.776456041666668</v>
      </c>
      <c r="G45" s="744">
        <f t="shared" si="6"/>
        <v>12.776456041666668</v>
      </c>
      <c r="H45" s="744">
        <f t="shared" si="6"/>
        <v>12.776456041666668</v>
      </c>
      <c r="I45" s="744">
        <f t="shared" si="6"/>
        <v>12.776456041666668</v>
      </c>
      <c r="J45" s="744">
        <f t="shared" si="6"/>
        <v>12.776456041666668</v>
      </c>
      <c r="K45" s="744">
        <f t="shared" si="6"/>
        <v>12.776456041666668</v>
      </c>
      <c r="L45" s="744">
        <f t="shared" si="6"/>
        <v>12.776456041666668</v>
      </c>
      <c r="M45" s="744">
        <f t="shared" si="6"/>
        <v>12.776456041666668</v>
      </c>
      <c r="N45" s="744">
        <f t="shared" si="6"/>
        <v>12.776456041666668</v>
      </c>
      <c r="O45" s="744">
        <f t="shared" si="6"/>
        <v>12.776456041666668</v>
      </c>
      <c r="P45" s="744">
        <f t="shared" si="6"/>
        <v>12.776456041666668</v>
      </c>
      <c r="Q45" s="744">
        <f t="shared" si="6"/>
        <v>12.776456041666668</v>
      </c>
      <c r="R45" s="744">
        <f t="shared" si="6"/>
        <v>12.776456041666668</v>
      </c>
      <c r="S45" s="744">
        <f t="shared" si="6"/>
        <v>12.776456041666668</v>
      </c>
      <c r="T45" s="744">
        <f t="shared" si="6"/>
        <v>12.776456041666668</v>
      </c>
      <c r="U45" s="744">
        <f t="shared" si="6"/>
        <v>12.776456041666668</v>
      </c>
      <c r="V45" s="744">
        <f t="shared" si="6"/>
        <v>12.776456041666668</v>
      </c>
      <c r="W45" s="744">
        <f t="shared" si="6"/>
        <v>12.776456041666668</v>
      </c>
      <c r="X45" s="744">
        <f t="shared" si="6"/>
        <v>12.776456041666668</v>
      </c>
      <c r="Y45" s="744">
        <f t="shared" si="6"/>
        <v>12.776456041666668</v>
      </c>
      <c r="Z45" s="744">
        <f t="shared" si="6"/>
        <v>12.776456041666668</v>
      </c>
      <c r="AA45" s="744">
        <f t="shared" si="6"/>
        <v>12.776456041666668</v>
      </c>
      <c r="AB45" s="744">
        <f t="shared" si="6"/>
        <v>0</v>
      </c>
      <c r="AC45" s="744">
        <f t="shared" si="6"/>
        <v>0</v>
      </c>
      <c r="AD45" s="744">
        <f t="shared" si="6"/>
        <v>0</v>
      </c>
      <c r="AE45" s="744">
        <f t="shared" si="6"/>
        <v>0</v>
      </c>
      <c r="AF45" s="744">
        <f t="shared" si="6"/>
        <v>0</v>
      </c>
      <c r="AG45" s="744">
        <f t="shared" si="6"/>
        <v>0</v>
      </c>
      <c r="AH45" s="744">
        <f t="shared" si="6"/>
        <v>0</v>
      </c>
      <c r="AI45" s="744">
        <f t="shared" si="6"/>
        <v>0</v>
      </c>
      <c r="AJ45" s="744">
        <f t="shared" si="6"/>
        <v>0</v>
      </c>
      <c r="AK45" s="744">
        <f t="shared" si="6"/>
        <v>0</v>
      </c>
      <c r="AL45" s="744">
        <f t="shared" si="6"/>
        <v>0</v>
      </c>
      <c r="AM45" s="744">
        <f t="shared" si="6"/>
        <v>0</v>
      </c>
      <c r="AN45" s="744">
        <f t="shared" si="6"/>
        <v>0</v>
      </c>
      <c r="AO45" s="744">
        <f t="shared" si="6"/>
        <v>0</v>
      </c>
      <c r="AP45" s="744">
        <f t="shared" si="6"/>
        <v>0</v>
      </c>
      <c r="AQ45" s="744">
        <f t="shared" si="6"/>
        <v>0</v>
      </c>
      <c r="AR45" s="744">
        <f t="shared" si="6"/>
        <v>0</v>
      </c>
      <c r="AS45" s="744">
        <f t="shared" si="6"/>
        <v>0</v>
      </c>
      <c r="AT45" s="744">
        <f t="shared" si="6"/>
        <v>0</v>
      </c>
      <c r="AU45" s="745">
        <f t="shared" si="6"/>
        <v>0</v>
      </c>
    </row>
    <row r="46" spans="1:47" s="15" customFormat="1" ht="13.5" outlineLevel="1" x14ac:dyDescent="0.25">
      <c r="B46" s="431" t="s">
        <v>954</v>
      </c>
      <c r="C46" s="744">
        <v>0</v>
      </c>
      <c r="D46" s="744">
        <f t="shared" ref="D46:AU46" si="7">SUMPRODUCT($D$9:$D$14,$G$9:$G$14,$H$9:$H$14,$E$9:$E$14)/1000/24*D40</f>
        <v>6.388228020833334</v>
      </c>
      <c r="E46" s="744">
        <f t="shared" si="7"/>
        <v>6.388228020833334</v>
      </c>
      <c r="F46" s="744">
        <f t="shared" si="7"/>
        <v>6.388228020833334</v>
      </c>
      <c r="G46" s="744">
        <f t="shared" si="7"/>
        <v>6.388228020833334</v>
      </c>
      <c r="H46" s="744">
        <f t="shared" si="7"/>
        <v>6.388228020833334</v>
      </c>
      <c r="I46" s="744">
        <f t="shared" si="7"/>
        <v>6.388228020833334</v>
      </c>
      <c r="J46" s="744">
        <f t="shared" si="7"/>
        <v>6.388228020833334</v>
      </c>
      <c r="K46" s="744">
        <f t="shared" si="7"/>
        <v>6.388228020833334</v>
      </c>
      <c r="L46" s="744">
        <f t="shared" si="7"/>
        <v>6.388228020833334</v>
      </c>
      <c r="M46" s="744">
        <f t="shared" si="7"/>
        <v>6.388228020833334</v>
      </c>
      <c r="N46" s="744">
        <f t="shared" si="7"/>
        <v>6.388228020833334</v>
      </c>
      <c r="O46" s="744">
        <f t="shared" si="7"/>
        <v>6.388228020833334</v>
      </c>
      <c r="P46" s="744">
        <f t="shared" si="7"/>
        <v>6.388228020833334</v>
      </c>
      <c r="Q46" s="744">
        <f t="shared" si="7"/>
        <v>6.388228020833334</v>
      </c>
      <c r="R46" s="744">
        <f t="shared" si="7"/>
        <v>6.388228020833334</v>
      </c>
      <c r="S46" s="744">
        <f t="shared" si="7"/>
        <v>6.388228020833334</v>
      </c>
      <c r="T46" s="744">
        <f t="shared" si="7"/>
        <v>6.388228020833334</v>
      </c>
      <c r="U46" s="744">
        <f t="shared" si="7"/>
        <v>6.388228020833334</v>
      </c>
      <c r="V46" s="744">
        <f t="shared" si="7"/>
        <v>6.388228020833334</v>
      </c>
      <c r="W46" s="744">
        <f t="shared" si="7"/>
        <v>6.388228020833334</v>
      </c>
      <c r="X46" s="744">
        <f t="shared" si="7"/>
        <v>6.388228020833334</v>
      </c>
      <c r="Y46" s="744">
        <f t="shared" si="7"/>
        <v>6.388228020833334</v>
      </c>
      <c r="Z46" s="744">
        <f t="shared" si="7"/>
        <v>6.388228020833334</v>
      </c>
      <c r="AA46" s="744">
        <f t="shared" si="7"/>
        <v>6.388228020833334</v>
      </c>
      <c r="AB46" s="744">
        <f t="shared" si="7"/>
        <v>0</v>
      </c>
      <c r="AC46" s="744">
        <f t="shared" si="7"/>
        <v>0</v>
      </c>
      <c r="AD46" s="744">
        <f t="shared" si="7"/>
        <v>0</v>
      </c>
      <c r="AE46" s="744">
        <f t="shared" si="7"/>
        <v>0</v>
      </c>
      <c r="AF46" s="744">
        <f t="shared" si="7"/>
        <v>0</v>
      </c>
      <c r="AG46" s="744">
        <f t="shared" si="7"/>
        <v>0</v>
      </c>
      <c r="AH46" s="744">
        <f t="shared" si="7"/>
        <v>0</v>
      </c>
      <c r="AI46" s="744">
        <f t="shared" si="7"/>
        <v>0</v>
      </c>
      <c r="AJ46" s="744">
        <f t="shared" si="7"/>
        <v>0</v>
      </c>
      <c r="AK46" s="744">
        <f t="shared" si="7"/>
        <v>0</v>
      </c>
      <c r="AL46" s="744">
        <f t="shared" si="7"/>
        <v>0</v>
      </c>
      <c r="AM46" s="744">
        <f t="shared" si="7"/>
        <v>0</v>
      </c>
      <c r="AN46" s="744">
        <f t="shared" si="7"/>
        <v>0</v>
      </c>
      <c r="AO46" s="744">
        <f t="shared" si="7"/>
        <v>0</v>
      </c>
      <c r="AP46" s="744">
        <f t="shared" si="7"/>
        <v>0</v>
      </c>
      <c r="AQ46" s="744">
        <f t="shared" si="7"/>
        <v>0</v>
      </c>
      <c r="AR46" s="744">
        <f t="shared" si="7"/>
        <v>0</v>
      </c>
      <c r="AS46" s="744">
        <f t="shared" si="7"/>
        <v>0</v>
      </c>
      <c r="AT46" s="744">
        <f t="shared" si="7"/>
        <v>0</v>
      </c>
      <c r="AU46" s="745">
        <f t="shared" si="7"/>
        <v>0</v>
      </c>
    </row>
    <row r="47" spans="1:47" s="15" customFormat="1" ht="13.5" outlineLevel="1" x14ac:dyDescent="0.25">
      <c r="B47" s="431" t="s">
        <v>955</v>
      </c>
      <c r="C47" s="744"/>
      <c r="D47" s="744">
        <f t="shared" ref="D47:AU47" si="8">SUMPRODUCT($F$9:$F$14,$G$9:$G$14)*$C$17/1000/24*D40</f>
        <v>224.78695700000003</v>
      </c>
      <c r="E47" s="744">
        <f t="shared" si="8"/>
        <v>224.78695700000003</v>
      </c>
      <c r="F47" s="744">
        <f t="shared" si="8"/>
        <v>224.78695700000003</v>
      </c>
      <c r="G47" s="744">
        <f t="shared" si="8"/>
        <v>224.78695700000003</v>
      </c>
      <c r="H47" s="744">
        <f t="shared" si="8"/>
        <v>224.78695700000003</v>
      </c>
      <c r="I47" s="744">
        <f t="shared" si="8"/>
        <v>224.78695700000003</v>
      </c>
      <c r="J47" s="744">
        <f t="shared" si="8"/>
        <v>224.78695700000003</v>
      </c>
      <c r="K47" s="744">
        <f t="shared" si="8"/>
        <v>224.78695700000003</v>
      </c>
      <c r="L47" s="744">
        <f t="shared" si="8"/>
        <v>224.78695700000003</v>
      </c>
      <c r="M47" s="744">
        <f t="shared" si="8"/>
        <v>224.78695700000003</v>
      </c>
      <c r="N47" s="744">
        <f t="shared" si="8"/>
        <v>224.78695700000003</v>
      </c>
      <c r="O47" s="744">
        <f t="shared" si="8"/>
        <v>224.78695700000003</v>
      </c>
      <c r="P47" s="744">
        <f t="shared" si="8"/>
        <v>224.78695700000003</v>
      </c>
      <c r="Q47" s="744">
        <f t="shared" si="8"/>
        <v>224.78695700000003</v>
      </c>
      <c r="R47" s="744">
        <f t="shared" si="8"/>
        <v>224.78695700000003</v>
      </c>
      <c r="S47" s="744">
        <f t="shared" si="8"/>
        <v>224.78695700000003</v>
      </c>
      <c r="T47" s="744">
        <f t="shared" si="8"/>
        <v>224.78695700000003</v>
      </c>
      <c r="U47" s="744">
        <f t="shared" si="8"/>
        <v>224.78695700000003</v>
      </c>
      <c r="V47" s="744">
        <f t="shared" si="8"/>
        <v>224.78695700000003</v>
      </c>
      <c r="W47" s="744">
        <f t="shared" si="8"/>
        <v>224.78695700000003</v>
      </c>
      <c r="X47" s="744">
        <f t="shared" si="8"/>
        <v>224.78695700000003</v>
      </c>
      <c r="Y47" s="744">
        <f t="shared" si="8"/>
        <v>224.78695700000003</v>
      </c>
      <c r="Z47" s="744">
        <f t="shared" si="8"/>
        <v>224.78695700000003</v>
      </c>
      <c r="AA47" s="744">
        <f t="shared" si="8"/>
        <v>224.78695700000003</v>
      </c>
      <c r="AB47" s="744">
        <f t="shared" si="8"/>
        <v>0</v>
      </c>
      <c r="AC47" s="744">
        <f t="shared" si="8"/>
        <v>0</v>
      </c>
      <c r="AD47" s="744">
        <f t="shared" si="8"/>
        <v>0</v>
      </c>
      <c r="AE47" s="744">
        <f t="shared" si="8"/>
        <v>0</v>
      </c>
      <c r="AF47" s="744">
        <f t="shared" si="8"/>
        <v>0</v>
      </c>
      <c r="AG47" s="744">
        <f t="shared" si="8"/>
        <v>0</v>
      </c>
      <c r="AH47" s="744">
        <f t="shared" si="8"/>
        <v>0</v>
      </c>
      <c r="AI47" s="744">
        <f t="shared" si="8"/>
        <v>0</v>
      </c>
      <c r="AJ47" s="744">
        <f t="shared" si="8"/>
        <v>0</v>
      </c>
      <c r="AK47" s="744">
        <f t="shared" si="8"/>
        <v>0</v>
      </c>
      <c r="AL47" s="744">
        <f t="shared" si="8"/>
        <v>0</v>
      </c>
      <c r="AM47" s="744">
        <f t="shared" si="8"/>
        <v>0</v>
      </c>
      <c r="AN47" s="744">
        <f t="shared" si="8"/>
        <v>0</v>
      </c>
      <c r="AO47" s="744">
        <f t="shared" si="8"/>
        <v>0</v>
      </c>
      <c r="AP47" s="744">
        <f t="shared" si="8"/>
        <v>0</v>
      </c>
      <c r="AQ47" s="744">
        <f t="shared" si="8"/>
        <v>0</v>
      </c>
      <c r="AR47" s="744">
        <f t="shared" si="8"/>
        <v>0</v>
      </c>
      <c r="AS47" s="744">
        <f t="shared" si="8"/>
        <v>0</v>
      </c>
      <c r="AT47" s="744">
        <f t="shared" si="8"/>
        <v>0</v>
      </c>
      <c r="AU47" s="745">
        <f t="shared" si="8"/>
        <v>0</v>
      </c>
    </row>
    <row r="48" spans="1:47" s="39" customFormat="1" ht="13.5" outlineLevel="1" x14ac:dyDescent="0.25">
      <c r="B48" s="715" t="s">
        <v>931</v>
      </c>
      <c r="C48" s="720">
        <f>C45-C46</f>
        <v>0</v>
      </c>
      <c r="D48" s="720">
        <f>D45-D46+D47</f>
        <v>231.17518502083337</v>
      </c>
      <c r="E48" s="720">
        <f t="shared" ref="E48:AU48" si="9">E45-E46+E47</f>
        <v>231.17518502083337</v>
      </c>
      <c r="F48" s="720">
        <f t="shared" si="9"/>
        <v>231.17518502083337</v>
      </c>
      <c r="G48" s="720">
        <f t="shared" si="9"/>
        <v>231.17518502083337</v>
      </c>
      <c r="H48" s="720">
        <f t="shared" si="9"/>
        <v>231.17518502083337</v>
      </c>
      <c r="I48" s="720">
        <f t="shared" si="9"/>
        <v>231.17518502083337</v>
      </c>
      <c r="J48" s="720">
        <f t="shared" si="9"/>
        <v>231.17518502083337</v>
      </c>
      <c r="K48" s="720">
        <f t="shared" si="9"/>
        <v>231.17518502083337</v>
      </c>
      <c r="L48" s="720">
        <f t="shared" si="9"/>
        <v>231.17518502083337</v>
      </c>
      <c r="M48" s="720">
        <f t="shared" si="9"/>
        <v>231.17518502083337</v>
      </c>
      <c r="N48" s="720">
        <f t="shared" si="9"/>
        <v>231.17518502083337</v>
      </c>
      <c r="O48" s="720">
        <f t="shared" si="9"/>
        <v>231.17518502083337</v>
      </c>
      <c r="P48" s="720">
        <f t="shared" si="9"/>
        <v>231.17518502083337</v>
      </c>
      <c r="Q48" s="720">
        <f t="shared" si="9"/>
        <v>231.17518502083337</v>
      </c>
      <c r="R48" s="720">
        <f t="shared" si="9"/>
        <v>231.17518502083337</v>
      </c>
      <c r="S48" s="720">
        <f t="shared" si="9"/>
        <v>231.17518502083337</v>
      </c>
      <c r="T48" s="720">
        <f t="shared" si="9"/>
        <v>231.17518502083337</v>
      </c>
      <c r="U48" s="720">
        <f t="shared" si="9"/>
        <v>231.17518502083337</v>
      </c>
      <c r="V48" s="720">
        <f t="shared" si="9"/>
        <v>231.17518502083337</v>
      </c>
      <c r="W48" s="720">
        <f t="shared" si="9"/>
        <v>231.17518502083337</v>
      </c>
      <c r="X48" s="720">
        <f t="shared" si="9"/>
        <v>231.17518502083337</v>
      </c>
      <c r="Y48" s="720">
        <f t="shared" si="9"/>
        <v>231.17518502083337</v>
      </c>
      <c r="Z48" s="720">
        <f t="shared" si="9"/>
        <v>231.17518502083337</v>
      </c>
      <c r="AA48" s="720">
        <f t="shared" si="9"/>
        <v>231.17518502083337</v>
      </c>
      <c r="AB48" s="720">
        <f t="shared" si="9"/>
        <v>0</v>
      </c>
      <c r="AC48" s="720">
        <f t="shared" si="9"/>
        <v>0</v>
      </c>
      <c r="AD48" s="720">
        <f t="shared" si="9"/>
        <v>0</v>
      </c>
      <c r="AE48" s="720">
        <f t="shared" si="9"/>
        <v>0</v>
      </c>
      <c r="AF48" s="720">
        <f t="shared" si="9"/>
        <v>0</v>
      </c>
      <c r="AG48" s="720">
        <f t="shared" si="9"/>
        <v>0</v>
      </c>
      <c r="AH48" s="720">
        <f t="shared" si="9"/>
        <v>0</v>
      </c>
      <c r="AI48" s="720">
        <f t="shared" si="9"/>
        <v>0</v>
      </c>
      <c r="AJ48" s="720">
        <f t="shared" si="9"/>
        <v>0</v>
      </c>
      <c r="AK48" s="720">
        <f t="shared" si="9"/>
        <v>0</v>
      </c>
      <c r="AL48" s="720">
        <f t="shared" si="9"/>
        <v>0</v>
      </c>
      <c r="AM48" s="720">
        <f t="shared" si="9"/>
        <v>0</v>
      </c>
      <c r="AN48" s="720">
        <f t="shared" si="9"/>
        <v>0</v>
      </c>
      <c r="AO48" s="720">
        <f t="shared" si="9"/>
        <v>0</v>
      </c>
      <c r="AP48" s="720">
        <f t="shared" si="9"/>
        <v>0</v>
      </c>
      <c r="AQ48" s="720">
        <f t="shared" si="9"/>
        <v>0</v>
      </c>
      <c r="AR48" s="720">
        <f t="shared" si="9"/>
        <v>0</v>
      </c>
      <c r="AS48" s="720">
        <f t="shared" si="9"/>
        <v>0</v>
      </c>
      <c r="AT48" s="720">
        <f t="shared" si="9"/>
        <v>0</v>
      </c>
      <c r="AU48" s="721">
        <f t="shared" si="9"/>
        <v>0</v>
      </c>
    </row>
    <row r="49" spans="3:4" s="15" customFormat="1" ht="18.75" customHeight="1" x14ac:dyDescent="0.25"/>
    <row r="50" spans="3:4" s="15" customFormat="1" ht="13.5" x14ac:dyDescent="0.25"/>
    <row r="51" spans="3:4" s="15" customFormat="1" ht="13.5" x14ac:dyDescent="0.25">
      <c r="C51" s="237"/>
      <c r="D51" s="237"/>
    </row>
    <row r="52" spans="3:4" x14ac:dyDescent="0.25">
      <c r="C52" s="238"/>
      <c r="D52" s="237"/>
    </row>
    <row r="53" spans="3:4" x14ac:dyDescent="0.25">
      <c r="C53" s="238"/>
      <c r="D53" s="237"/>
    </row>
    <row r="54" spans="3:4" x14ac:dyDescent="0.25">
      <c r="C54" s="238"/>
      <c r="D54" s="1"/>
    </row>
    <row r="55" spans="3:4" x14ac:dyDescent="0.25">
      <c r="C55" s="238"/>
      <c r="D55" s="1"/>
    </row>
    <row r="56" spans="3:4" x14ac:dyDescent="0.25">
      <c r="C56" s="238"/>
      <c r="D56" s="1"/>
    </row>
    <row r="57" spans="3:4" x14ac:dyDescent="0.25">
      <c r="C57" s="237"/>
      <c r="D57" s="1"/>
    </row>
    <row r="58" spans="3:4" x14ac:dyDescent="0.25">
      <c r="C58" s="237"/>
      <c r="D58" s="1"/>
    </row>
    <row r="59" spans="3:4" x14ac:dyDescent="0.25">
      <c r="C59" s="237"/>
      <c r="D59" s="1"/>
    </row>
    <row r="60" spans="3:4" x14ac:dyDescent="0.25">
      <c r="C60" s="237"/>
      <c r="D60" s="1"/>
    </row>
  </sheetData>
  <sheetProtection algorithmName="SHA-512" hashValue="ZcgXwAsZ2UHCvEyitEHr4G4X1yOc+/fp8UtAmZA4fOAy4jeu+PdYwR5/FNovgG4YkfxWKOvnMUavrBlcbi/dcw==" saltValue="vrI7gbU+as9AJNEnHmX7Aw==" spinCount="100000" sheet="1" objects="1" scenarios="1" selectLockedCells="1"/>
  <mergeCells count="2">
    <mergeCell ref="B3:D3"/>
    <mergeCell ref="E3:L3"/>
  </mergeCells>
  <phoneticPr fontId="16" type="noConversion"/>
  <conditionalFormatting sqref="C33:C35">
    <cfRule type="containsText" dxfId="77" priority="1" operator="containsText" text="Kõrge">
      <formula>NOT(ISERROR(SEARCH("Kõrge",C33)))</formula>
    </cfRule>
    <cfRule type="containsText" dxfId="76" priority="2" operator="containsText" text="Mõõdukas">
      <formula>NOT(ISERROR(SEARCH("Mõõdukas",C33)))</formula>
    </cfRule>
    <cfRule type="containsText" dxfId="75" priority="3" operator="containsText" text="Madal">
      <formula>NOT(ISERROR(SEARCH("Madal",C33)))</formula>
    </cfRule>
  </conditionalFormatting>
  <dataValidations count="3">
    <dataValidation type="list" allowBlank="1" showInputMessage="1" showErrorMessage="1" sqref="C34" xr:uid="{58532201-2BE6-4A11-9DEA-D758089B2A54}">
      <formula1>I33:I35</formula1>
    </dataValidation>
    <dataValidation type="list" allowBlank="1" showInputMessage="1" showErrorMessage="1" sqref="C33" xr:uid="{F85DFB70-A05D-4E24-979F-DC5CAFF5C203}">
      <formula1>I33:I35</formula1>
    </dataValidation>
    <dataValidation type="list" allowBlank="1" showInputMessage="1" showErrorMessage="1" sqref="C35" xr:uid="{ABF65618-5E91-4F5D-A19B-E2CC351B89FB}">
      <formula1>I33:I35</formula1>
    </dataValidation>
  </dataValidations>
  <hyperlinks>
    <hyperlink ref="B1" location="MEETMED!A1" display="&lt;-MEETMETE NIMEKIRI" xr:uid="{E068FC6E-BAE6-4BC4-871C-3BD8B8AC3919}"/>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842B-E2DE-494D-AAF9-2B2D5E235B62}">
  <sheetPr>
    <tabColor theme="9" tint="0.79998168889431442"/>
  </sheetPr>
  <dimension ref="A1:AU72"/>
  <sheetViews>
    <sheetView showGridLines="0" workbookViewId="0">
      <selection activeCell="C27" sqref="C27"/>
    </sheetView>
  </sheetViews>
  <sheetFormatPr defaultColWidth="8.85546875" defaultRowHeight="15" outlineLevelRow="1" x14ac:dyDescent="0.25"/>
  <cols>
    <col min="1" max="1" width="3.7109375" customWidth="1"/>
    <col min="2" max="2" width="49.5703125" customWidth="1"/>
    <col min="3" max="3" width="14.42578125" customWidth="1"/>
    <col min="4" max="4" width="12.7109375" customWidth="1"/>
    <col min="5" max="5" width="13.85546875" customWidth="1"/>
    <col min="6" max="6" width="11.28515625" customWidth="1"/>
    <col min="7" max="7" width="12" customWidth="1"/>
    <col min="8" max="8" width="10.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32.25" customHeight="1" x14ac:dyDescent="0.25">
      <c r="A3" s="260" t="s">
        <v>22</v>
      </c>
      <c r="B3" s="988" t="str">
        <f>"MEEDE: "&amp;VLOOKUP(A3,MEETMED!B:G,2,FALSE)</f>
        <v>MEEDE: Munitsipaalhoonete energiatõhususe ja kliimakindluse suurendamine</v>
      </c>
      <c r="C3" s="988"/>
      <c r="D3" s="988"/>
      <c r="E3" s="990" t="str">
        <f>"TEGEVUS: "&amp;VLOOKUP(A3,MEETMED!B:G,3,FALSE)</f>
        <v>TEGEVUS: Võimalikult suurele hulgale hoonetele installeeritakse päikesepaneelid katustele, kus see on võimalik.</v>
      </c>
      <c r="F3" s="990"/>
      <c r="G3" s="990"/>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861</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33"/>
    </row>
    <row r="7" spans="1:27" s="1" customFormat="1" outlineLevel="1" x14ac:dyDescent="0.25">
      <c r="B7" s="155" t="s">
        <v>862</v>
      </c>
      <c r="C7" s="901">
        <v>2026</v>
      </c>
      <c r="D7" s="155" t="s">
        <v>863</v>
      </c>
      <c r="E7" s="155"/>
      <c r="F7" s="155"/>
      <c r="G7" s="155"/>
      <c r="H7" s="155"/>
      <c r="I7" s="155"/>
      <c r="J7" s="155"/>
      <c r="K7" s="155"/>
      <c r="L7" s="155"/>
    </row>
    <row r="8" spans="1:27" s="1" customFormat="1" outlineLevel="1" x14ac:dyDescent="0.25">
      <c r="B8" s="155" t="s">
        <v>864</v>
      </c>
      <c r="C8" s="901">
        <v>2050</v>
      </c>
      <c r="D8" s="155" t="s">
        <v>863</v>
      </c>
      <c r="E8" s="155"/>
      <c r="F8" s="155"/>
      <c r="G8" s="155"/>
      <c r="H8" s="155"/>
      <c r="I8" s="155"/>
      <c r="J8" s="155"/>
      <c r="K8" s="155"/>
      <c r="L8" s="155"/>
    </row>
    <row r="9" spans="1:27" s="1" customFormat="1" outlineLevel="1" x14ac:dyDescent="0.25">
      <c r="B9" s="155" t="s">
        <v>865</v>
      </c>
      <c r="C9" s="229">
        <f>C8-C7+1</f>
        <v>25</v>
      </c>
      <c r="D9" s="155" t="s">
        <v>863</v>
      </c>
      <c r="E9" s="155"/>
      <c r="F9" s="155"/>
      <c r="G9" s="155"/>
      <c r="H9" s="155"/>
      <c r="I9" s="155"/>
      <c r="J9" s="155"/>
      <c r="K9" s="155"/>
      <c r="L9" s="155"/>
    </row>
    <row r="10" spans="1:27" s="1" customFormat="1" ht="6.75" customHeight="1" outlineLevel="1" x14ac:dyDescent="0.25">
      <c r="D10" s="33"/>
    </row>
    <row r="11" spans="1:27" s="1" customFormat="1" ht="35.450000000000003" customHeight="1" outlineLevel="1" x14ac:dyDescent="0.25">
      <c r="B11" s="741" t="s">
        <v>956</v>
      </c>
      <c r="C11" s="743" t="s">
        <v>571</v>
      </c>
      <c r="D11" s="743" t="s">
        <v>532</v>
      </c>
      <c r="E11" s="743" t="s">
        <v>957</v>
      </c>
      <c r="F11" s="743" t="s">
        <v>958</v>
      </c>
      <c r="G11" s="743" t="s">
        <v>959</v>
      </c>
      <c r="H11" s="743" t="s">
        <v>960</v>
      </c>
      <c r="J11" s="277" t="s">
        <v>876</v>
      </c>
    </row>
    <row r="12" spans="1:27" s="1" customFormat="1" outlineLevel="1" x14ac:dyDescent="0.25">
      <c r="B12" s="671" t="s">
        <v>576</v>
      </c>
      <c r="C12" s="748">
        <v>81</v>
      </c>
      <c r="D12" s="734">
        <v>115887.14000000001</v>
      </c>
      <c r="E12" s="734">
        <f>D12/0.75</f>
        <v>154516.18666666668</v>
      </c>
      <c r="F12" s="734">
        <f>E12/C12</f>
        <v>1907.607242798354</v>
      </c>
      <c r="G12" s="895">
        <v>3</v>
      </c>
      <c r="H12" s="749">
        <f>E12/G12</f>
        <v>51505.395555555559</v>
      </c>
      <c r="J12" s="893" t="s">
        <v>1670</v>
      </c>
      <c r="K12" s="305" t="s">
        <v>877</v>
      </c>
    </row>
    <row r="13" spans="1:27" s="1" customFormat="1" outlineLevel="1" x14ac:dyDescent="0.25">
      <c r="B13" s="671" t="s">
        <v>577</v>
      </c>
      <c r="C13" s="748">
        <v>152</v>
      </c>
      <c r="D13" s="734">
        <v>125359.09999999996</v>
      </c>
      <c r="E13" s="734">
        <f t="shared" ref="E13:E17" si="0">D13/0.75</f>
        <v>167145.46666666662</v>
      </c>
      <c r="F13" s="734">
        <f t="shared" ref="F13:F17" si="1">E13/C13</f>
        <v>1099.6412280701752</v>
      </c>
      <c r="G13" s="895">
        <v>3</v>
      </c>
      <c r="H13" s="749">
        <f t="shared" ref="H13:H17" si="2">E13/G13</f>
        <v>55715.155555555539</v>
      </c>
      <c r="J13" s="892" t="s">
        <v>878</v>
      </c>
      <c r="K13" s="305" t="s">
        <v>1669</v>
      </c>
    </row>
    <row r="14" spans="1:27" s="1" customFormat="1" outlineLevel="1" x14ac:dyDescent="0.25">
      <c r="B14" s="671" t="s">
        <v>578</v>
      </c>
      <c r="C14" s="750">
        <v>174</v>
      </c>
      <c r="D14" s="734">
        <v>251753.2000000001</v>
      </c>
      <c r="E14" s="734">
        <f t="shared" si="0"/>
        <v>335670.93333333347</v>
      </c>
      <c r="F14" s="734">
        <f t="shared" si="1"/>
        <v>1929.1432950191579</v>
      </c>
      <c r="G14" s="895">
        <v>2</v>
      </c>
      <c r="H14" s="749">
        <f t="shared" si="2"/>
        <v>167835.46666666673</v>
      </c>
      <c r="J14" s="892" t="s">
        <v>1671</v>
      </c>
      <c r="K14" s="228">
        <v>1234</v>
      </c>
    </row>
    <row r="15" spans="1:27" s="1" customFormat="1" outlineLevel="1" x14ac:dyDescent="0.25">
      <c r="B15" s="671" t="s">
        <v>579</v>
      </c>
      <c r="C15" s="750">
        <v>231</v>
      </c>
      <c r="D15" s="734">
        <v>592692.89999999991</v>
      </c>
      <c r="E15" s="734">
        <f t="shared" si="0"/>
        <v>790257.19999999984</v>
      </c>
      <c r="F15" s="734">
        <f t="shared" si="1"/>
        <v>3421.026839826839</v>
      </c>
      <c r="G15" s="895">
        <v>4</v>
      </c>
      <c r="H15" s="749">
        <f t="shared" si="2"/>
        <v>197564.29999999996</v>
      </c>
    </row>
    <row r="16" spans="1:27" s="1" customFormat="1" outlineLevel="1" x14ac:dyDescent="0.25">
      <c r="B16" s="671" t="s">
        <v>580</v>
      </c>
      <c r="C16" s="748">
        <v>19</v>
      </c>
      <c r="D16" s="734">
        <v>34555.700000000004</v>
      </c>
      <c r="E16" s="734">
        <f t="shared" si="0"/>
        <v>46074.26666666667</v>
      </c>
      <c r="F16" s="734">
        <f t="shared" si="1"/>
        <v>2424.961403508772</v>
      </c>
      <c r="G16" s="895">
        <v>3</v>
      </c>
      <c r="H16" s="749">
        <f t="shared" si="2"/>
        <v>15358.088888888889</v>
      </c>
    </row>
    <row r="17" spans="1:34" s="1" customFormat="1" outlineLevel="1" x14ac:dyDescent="0.25">
      <c r="B17" s="671" t="s">
        <v>581</v>
      </c>
      <c r="C17" s="748">
        <v>352</v>
      </c>
      <c r="D17" s="734">
        <v>64261.899999999972</v>
      </c>
      <c r="E17" s="734">
        <f t="shared" si="0"/>
        <v>85682.533333333296</v>
      </c>
      <c r="F17" s="734">
        <f t="shared" si="1"/>
        <v>243.41628787878778</v>
      </c>
      <c r="G17" s="895">
        <v>1</v>
      </c>
      <c r="H17" s="749">
        <f t="shared" si="2"/>
        <v>85682.533333333296</v>
      </c>
    </row>
    <row r="18" spans="1:34" s="1" customFormat="1" outlineLevel="1" x14ac:dyDescent="0.25">
      <c r="B18" s="678" t="s">
        <v>445</v>
      </c>
      <c r="C18" s="751">
        <f>SUM(C12:C17)</f>
        <v>1009</v>
      </c>
      <c r="D18" s="736">
        <f>SUM(D12:D17)</f>
        <v>1184509.9399999997</v>
      </c>
      <c r="E18" s="736">
        <f>SUM(E12:E17)</f>
        <v>1579346.5866666664</v>
      </c>
      <c r="F18" s="737"/>
      <c r="G18" s="737"/>
      <c r="H18" s="752">
        <f>SUM(H12:H17)</f>
        <v>573660.93999999994</v>
      </c>
    </row>
    <row r="19" spans="1:34" s="1" customFormat="1" outlineLevel="1" x14ac:dyDescent="0.25">
      <c r="B19" s="155"/>
      <c r="C19" s="231"/>
    </row>
    <row r="20" spans="1:34" s="1" customFormat="1" outlineLevel="1" x14ac:dyDescent="0.25">
      <c r="B20" s="155" t="s">
        <v>961</v>
      </c>
      <c r="C20" s="918">
        <f>'HO1'!C23/2</f>
        <v>0.4</v>
      </c>
      <c r="D20" s="261" t="s">
        <v>962</v>
      </c>
    </row>
    <row r="21" spans="1:34" s="1" customFormat="1" outlineLevel="1" x14ac:dyDescent="0.25">
      <c r="B21" s="155" t="s">
        <v>963</v>
      </c>
      <c r="C21" s="796">
        <f>H18*C20/C9</f>
        <v>9178.5750399999997</v>
      </c>
      <c r="D21" s="155"/>
      <c r="E21" s="155"/>
      <c r="F21" s="155"/>
    </row>
    <row r="22" spans="1:34" s="1" customFormat="1" outlineLevel="1" x14ac:dyDescent="0.25">
      <c r="B22" s="155" t="s">
        <v>964</v>
      </c>
      <c r="C22" s="896">
        <v>1000</v>
      </c>
      <c r="D22" s="261" t="s">
        <v>965</v>
      </c>
      <c r="E22" s="262"/>
      <c r="F22" s="155"/>
    </row>
    <row r="23" spans="1:34" s="1" customFormat="1" outlineLevel="1" x14ac:dyDescent="0.25">
      <c r="B23" s="155" t="s">
        <v>966</v>
      </c>
      <c r="C23" s="896">
        <v>10</v>
      </c>
      <c r="D23" s="261" t="s">
        <v>967</v>
      </c>
      <c r="E23" s="262"/>
      <c r="F23" s="155"/>
    </row>
    <row r="24" spans="1:34" s="1" customFormat="1" outlineLevel="1" x14ac:dyDescent="0.25">
      <c r="B24" s="155" t="s">
        <v>968</v>
      </c>
      <c r="C24" s="896">
        <v>400</v>
      </c>
      <c r="D24" s="940" t="s">
        <v>1672</v>
      </c>
      <c r="E24" s="262"/>
      <c r="F24" s="155"/>
    </row>
    <row r="25" spans="1:34" s="1" customFormat="1" outlineLevel="1" x14ac:dyDescent="0.25">
      <c r="B25" s="155" t="s">
        <v>969</v>
      </c>
      <c r="C25" s="896">
        <v>50</v>
      </c>
      <c r="D25" s="266"/>
      <c r="E25" s="262"/>
      <c r="F25" s="155"/>
    </row>
    <row r="26" spans="1:34" s="1" customFormat="1" outlineLevel="1" x14ac:dyDescent="0.25">
      <c r="B26" s="155" t="s">
        <v>970</v>
      </c>
      <c r="C26" s="896">
        <v>1100</v>
      </c>
      <c r="D26" s="261" t="s">
        <v>967</v>
      </c>
      <c r="E26" s="262"/>
      <c r="F26" s="155"/>
    </row>
    <row r="27" spans="1:34" s="1" customFormat="1" outlineLevel="1" x14ac:dyDescent="0.25">
      <c r="B27" s="155" t="s">
        <v>971</v>
      </c>
      <c r="C27" s="896">
        <v>1</v>
      </c>
      <c r="D27" s="261" t="s">
        <v>892</v>
      </c>
      <c r="E27" s="262"/>
      <c r="F27" s="155"/>
    </row>
    <row r="28" spans="1:34" s="1" customFormat="1" outlineLevel="1" x14ac:dyDescent="0.25">
      <c r="B28" s="155" t="s">
        <v>972</v>
      </c>
      <c r="C28" s="918">
        <v>5.0000000000000001E-3</v>
      </c>
      <c r="D28" s="261" t="s">
        <v>973</v>
      </c>
      <c r="E28" s="262"/>
      <c r="F28" s="155"/>
    </row>
    <row r="29" spans="1:34" s="1" customFormat="1" x14ac:dyDescent="0.25">
      <c r="B29" s="232"/>
      <c r="C29" s="232"/>
      <c r="D29" s="228"/>
      <c r="E29" s="228"/>
    </row>
    <row r="30" spans="1:34" x14ac:dyDescent="0.25">
      <c r="A30" s="1"/>
      <c r="B30" s="659" t="s">
        <v>895</v>
      </c>
      <c r="C30" s="659"/>
      <c r="D30" s="659"/>
      <c r="E30" s="659"/>
      <c r="F30" s="659"/>
      <c r="G30" s="659"/>
      <c r="H30" s="659"/>
      <c r="I30" s="659"/>
      <c r="J30" s="659"/>
      <c r="K30" s="659"/>
      <c r="L30" s="659"/>
      <c r="M30" s="1"/>
      <c r="N30" s="1"/>
      <c r="O30" s="1"/>
      <c r="P30" s="1"/>
      <c r="Q30" s="1"/>
      <c r="R30" s="1"/>
      <c r="S30" s="1"/>
      <c r="T30" s="1"/>
      <c r="U30" s="1"/>
      <c r="V30" s="1"/>
      <c r="W30" s="1"/>
      <c r="X30" s="1"/>
      <c r="Y30" s="1"/>
      <c r="Z30" s="1"/>
      <c r="AA30" s="1"/>
      <c r="AB30" s="1"/>
      <c r="AC30" s="1"/>
      <c r="AD30" s="1"/>
      <c r="AE30" s="1"/>
      <c r="AF30" s="1"/>
      <c r="AG30" s="1"/>
      <c r="AH30" s="1"/>
    </row>
    <row r="31" spans="1:34" s="1" customFormat="1" ht="9.75" customHeight="1" outlineLevel="1" x14ac:dyDescent="0.25"/>
    <row r="32" spans="1:34" s="1" customFormat="1" outlineLevel="1" x14ac:dyDescent="0.25">
      <c r="B32" s="13" t="s">
        <v>896</v>
      </c>
      <c r="D32" s="234"/>
      <c r="E32" s="284" t="s">
        <v>897</v>
      </c>
    </row>
    <row r="33" spans="1:47" s="1" customFormat="1" ht="15" customHeight="1" outlineLevel="1" x14ac:dyDescent="0.25">
      <c r="B33" s="660" t="s">
        <v>898</v>
      </c>
      <c r="C33" s="665" t="s">
        <v>899</v>
      </c>
      <c r="E33" s="661"/>
      <c r="F33" s="701" t="s">
        <v>900</v>
      </c>
    </row>
    <row r="34" spans="1:47" s="1" customFormat="1" ht="15" customHeight="1" outlineLevel="1" x14ac:dyDescent="0.25">
      <c r="B34" s="663" t="s">
        <v>398</v>
      </c>
      <c r="C34" s="666">
        <f>SUM(C54:AU54)/1000/C9</f>
        <v>1.2850005056</v>
      </c>
      <c r="E34" s="663">
        <v>2030</v>
      </c>
      <c r="F34" s="670">
        <f>G60</f>
        <v>1499.3957669092779</v>
      </c>
    </row>
    <row r="35" spans="1:47" s="1" customFormat="1" ht="15" customHeight="1" outlineLevel="1" x14ac:dyDescent="0.25">
      <c r="B35" s="155" t="s">
        <v>399</v>
      </c>
      <c r="C35" s="667">
        <f>C34</f>
        <v>1.2850005056</v>
      </c>
      <c r="E35" s="155">
        <v>2035</v>
      </c>
      <c r="F35" s="428">
        <f>L60</f>
        <v>1974.453079349179</v>
      </c>
    </row>
    <row r="36" spans="1:47" s="1" customFormat="1" ht="15" customHeight="1" outlineLevel="1" x14ac:dyDescent="0.25">
      <c r="B36" s="663" t="s">
        <v>400</v>
      </c>
      <c r="C36" s="666">
        <f>SUM(C56:AU56)/1000/C9</f>
        <v>-0.24868163656269293</v>
      </c>
      <c r="D36" s="261"/>
      <c r="E36" s="663">
        <v>2040</v>
      </c>
      <c r="F36" s="670">
        <f>Q60</f>
        <v>1462.5900408362261</v>
      </c>
    </row>
    <row r="37" spans="1:47" s="1" customFormat="1" outlineLevel="1" x14ac:dyDescent="0.25">
      <c r="B37" s="155" t="s">
        <v>401</v>
      </c>
      <c r="C37" s="667">
        <f>C36</f>
        <v>-0.24868163656269293</v>
      </c>
      <c r="D37" s="261"/>
      <c r="E37" s="155">
        <v>2045</v>
      </c>
      <c r="F37" s="428">
        <f>V60</f>
        <v>963.09385131188094</v>
      </c>
    </row>
    <row r="38" spans="1:47" s="1" customFormat="1" ht="15" customHeight="1" outlineLevel="1" x14ac:dyDescent="0.25">
      <c r="B38" s="663" t="s">
        <v>901</v>
      </c>
      <c r="C38" s="666">
        <v>0</v>
      </c>
      <c r="D38" s="261"/>
      <c r="E38" s="663">
        <v>2050</v>
      </c>
      <c r="F38" s="670">
        <f>AA60</f>
        <v>0</v>
      </c>
    </row>
    <row r="39" spans="1:47" s="1" customFormat="1" ht="15" customHeight="1" outlineLevel="1" x14ac:dyDescent="0.25">
      <c r="B39" s="155" t="s">
        <v>902</v>
      </c>
      <c r="C39" s="428" t="s">
        <v>949</v>
      </c>
      <c r="D39" s="261"/>
      <c r="E39" s="228"/>
    </row>
    <row r="40" spans="1:47" s="1" customFormat="1" outlineLevel="1" x14ac:dyDescent="0.25">
      <c r="B40" s="663" t="s">
        <v>403</v>
      </c>
      <c r="C40" s="670">
        <f>SUM(C56:AU56)*1000/SUM(C60:AU60)</f>
        <v>-195.15907336143994</v>
      </c>
      <c r="D40" s="261"/>
      <c r="E40" s="228"/>
    </row>
    <row r="41" spans="1:47" s="1" customFormat="1" outlineLevel="1" x14ac:dyDescent="0.25">
      <c r="B41" s="13"/>
      <c r="C41" s="236"/>
    </row>
    <row r="42" spans="1:47" s="1" customFormat="1" outlineLevel="1" x14ac:dyDescent="0.25">
      <c r="B42" s="284" t="s">
        <v>903</v>
      </c>
      <c r="D42" s="43"/>
      <c r="E42" s="7"/>
      <c r="J42" s="277" t="s">
        <v>876</v>
      </c>
    </row>
    <row r="43" spans="1:47" s="1" customFormat="1" outlineLevel="1" x14ac:dyDescent="0.25">
      <c r="A43" s="33"/>
      <c r="B43" s="155" t="s">
        <v>904</v>
      </c>
      <c r="C43" s="307" t="s">
        <v>910</v>
      </c>
      <c r="E43" s="261" t="s">
        <v>974</v>
      </c>
      <c r="F43" s="12"/>
      <c r="G43" s="12"/>
      <c r="H43" s="12"/>
      <c r="J43" s="311" t="s">
        <v>474</v>
      </c>
      <c r="K43" s="295" t="s">
        <v>906</v>
      </c>
    </row>
    <row r="44" spans="1:47" s="1" customFormat="1" ht="16.5" customHeight="1" outlineLevel="1" x14ac:dyDescent="0.25">
      <c r="A44" s="33">
        <v>1</v>
      </c>
      <c r="B44" s="155" t="s">
        <v>907</v>
      </c>
      <c r="C44" s="307" t="s">
        <v>905</v>
      </c>
      <c r="D44" s="397">
        <f>IF(C44="Kõrge",3,IF(C44="Mõõdukas",2,1))</f>
        <v>2</v>
      </c>
      <c r="E44" s="261" t="s">
        <v>975</v>
      </c>
      <c r="F44" s="12"/>
      <c r="G44" s="12"/>
      <c r="H44" s="12"/>
      <c r="J44" s="312" t="s">
        <v>905</v>
      </c>
      <c r="K44" s="295" t="s">
        <v>908</v>
      </c>
    </row>
    <row r="45" spans="1:47" s="1" customFormat="1" ht="16.5" customHeight="1" outlineLevel="1" x14ac:dyDescent="0.25">
      <c r="A45" s="33"/>
      <c r="B45" s="155" t="s">
        <v>909</v>
      </c>
      <c r="C45" s="307" t="s">
        <v>905</v>
      </c>
      <c r="D45" s="397">
        <f>IF(C45="Kõrge",3,IF(C45="Mõõdukas",2,1))</f>
        <v>2</v>
      </c>
      <c r="E45" s="261" t="s">
        <v>976</v>
      </c>
      <c r="F45" s="12"/>
      <c r="J45" s="313" t="s">
        <v>910</v>
      </c>
      <c r="K45" s="295" t="s">
        <v>911</v>
      </c>
    </row>
    <row r="46" spans="1:47" s="1" customFormat="1" ht="16.5" customHeight="1" x14ac:dyDescent="0.25">
      <c r="C46" s="399" t="s">
        <v>912</v>
      </c>
      <c r="D46" s="398">
        <f>D45+D44</f>
        <v>4</v>
      </c>
    </row>
    <row r="47" spans="1:47" x14ac:dyDescent="0.25">
      <c r="A47" s="1"/>
      <c r="B47" s="659" t="s">
        <v>913</v>
      </c>
      <c r="C47" s="659"/>
      <c r="D47" s="659"/>
      <c r="E47" s="659"/>
      <c r="F47" s="659"/>
      <c r="G47" s="659"/>
      <c r="H47" s="659"/>
      <c r="I47" s="659"/>
      <c r="J47" s="659"/>
      <c r="K47" s="659"/>
      <c r="L47" s="659"/>
      <c r="M47" s="659"/>
      <c r="N47" s="659"/>
      <c r="O47" s="659"/>
      <c r="P47" s="659"/>
      <c r="Q47" s="659"/>
      <c r="R47" s="659"/>
      <c r="S47" s="659"/>
      <c r="T47" s="659"/>
      <c r="U47" s="659"/>
      <c r="V47" s="659"/>
      <c r="W47" s="659"/>
      <c r="X47" s="659"/>
      <c r="Y47" s="659"/>
      <c r="Z47" s="659"/>
      <c r="AA47" s="659"/>
      <c r="AB47" s="659"/>
      <c r="AC47" s="659"/>
      <c r="AD47" s="659"/>
      <c r="AE47" s="659"/>
      <c r="AF47" s="659"/>
      <c r="AG47" s="659"/>
      <c r="AH47" s="659"/>
      <c r="AI47" s="659"/>
      <c r="AJ47" s="659"/>
      <c r="AK47" s="659"/>
      <c r="AL47" s="659"/>
      <c r="AM47" s="659"/>
      <c r="AN47" s="659"/>
      <c r="AO47" s="659"/>
      <c r="AP47" s="659"/>
      <c r="AQ47" s="659"/>
      <c r="AR47" s="659"/>
      <c r="AS47" s="659"/>
      <c r="AT47" s="659"/>
      <c r="AU47" s="659"/>
    </row>
    <row r="48" spans="1:47" s="15" customFormat="1" ht="7.5" customHeight="1" outlineLevel="1" x14ac:dyDescent="0.25"/>
    <row r="49" spans="2:47" s="15" customFormat="1" ht="13.5" outlineLevel="1" x14ac:dyDescent="0.25">
      <c r="B49" s="696" t="s">
        <v>914</v>
      </c>
      <c r="C49" s="698">
        <f>C7</f>
        <v>2026</v>
      </c>
      <c r="D49" s="698">
        <f>C49+1</f>
        <v>2027</v>
      </c>
      <c r="E49" s="698">
        <f t="shared" ref="E49:AU49" si="3">D49+1</f>
        <v>2028</v>
      </c>
      <c r="F49" s="698">
        <f t="shared" si="3"/>
        <v>2029</v>
      </c>
      <c r="G49" s="698">
        <f t="shared" si="3"/>
        <v>2030</v>
      </c>
      <c r="H49" s="698">
        <f t="shared" si="3"/>
        <v>2031</v>
      </c>
      <c r="I49" s="698">
        <f t="shared" si="3"/>
        <v>2032</v>
      </c>
      <c r="J49" s="698">
        <f t="shared" si="3"/>
        <v>2033</v>
      </c>
      <c r="K49" s="698">
        <f t="shared" si="3"/>
        <v>2034</v>
      </c>
      <c r="L49" s="698">
        <f t="shared" si="3"/>
        <v>2035</v>
      </c>
      <c r="M49" s="698">
        <f t="shared" si="3"/>
        <v>2036</v>
      </c>
      <c r="N49" s="698">
        <f t="shared" si="3"/>
        <v>2037</v>
      </c>
      <c r="O49" s="698">
        <f t="shared" si="3"/>
        <v>2038</v>
      </c>
      <c r="P49" s="698">
        <f t="shared" si="3"/>
        <v>2039</v>
      </c>
      <c r="Q49" s="698">
        <f t="shared" si="3"/>
        <v>2040</v>
      </c>
      <c r="R49" s="698">
        <f t="shared" si="3"/>
        <v>2041</v>
      </c>
      <c r="S49" s="698">
        <f t="shared" si="3"/>
        <v>2042</v>
      </c>
      <c r="T49" s="698">
        <f t="shared" si="3"/>
        <v>2043</v>
      </c>
      <c r="U49" s="698">
        <f t="shared" si="3"/>
        <v>2044</v>
      </c>
      <c r="V49" s="698">
        <f t="shared" si="3"/>
        <v>2045</v>
      </c>
      <c r="W49" s="698">
        <f t="shared" si="3"/>
        <v>2046</v>
      </c>
      <c r="X49" s="698">
        <f t="shared" si="3"/>
        <v>2047</v>
      </c>
      <c r="Y49" s="698">
        <f t="shared" si="3"/>
        <v>2048</v>
      </c>
      <c r="Z49" s="698">
        <f t="shared" si="3"/>
        <v>2049</v>
      </c>
      <c r="AA49" s="698">
        <f t="shared" si="3"/>
        <v>2050</v>
      </c>
      <c r="AB49" s="698">
        <f t="shared" si="3"/>
        <v>2051</v>
      </c>
      <c r="AC49" s="698">
        <f t="shared" si="3"/>
        <v>2052</v>
      </c>
      <c r="AD49" s="698">
        <f t="shared" si="3"/>
        <v>2053</v>
      </c>
      <c r="AE49" s="698">
        <f t="shared" si="3"/>
        <v>2054</v>
      </c>
      <c r="AF49" s="698">
        <f t="shared" si="3"/>
        <v>2055</v>
      </c>
      <c r="AG49" s="698">
        <f t="shared" si="3"/>
        <v>2056</v>
      </c>
      <c r="AH49" s="698">
        <f t="shared" si="3"/>
        <v>2057</v>
      </c>
      <c r="AI49" s="698">
        <f t="shared" si="3"/>
        <v>2058</v>
      </c>
      <c r="AJ49" s="698">
        <f t="shared" si="3"/>
        <v>2059</v>
      </c>
      <c r="AK49" s="698">
        <f t="shared" si="3"/>
        <v>2060</v>
      </c>
      <c r="AL49" s="698">
        <f t="shared" si="3"/>
        <v>2061</v>
      </c>
      <c r="AM49" s="698">
        <f t="shared" si="3"/>
        <v>2062</v>
      </c>
      <c r="AN49" s="698">
        <f t="shared" si="3"/>
        <v>2063</v>
      </c>
      <c r="AO49" s="698">
        <f t="shared" si="3"/>
        <v>2064</v>
      </c>
      <c r="AP49" s="698">
        <f t="shared" si="3"/>
        <v>2065</v>
      </c>
      <c r="AQ49" s="698">
        <f t="shared" si="3"/>
        <v>2066</v>
      </c>
      <c r="AR49" s="698">
        <f t="shared" si="3"/>
        <v>2067</v>
      </c>
      <c r="AS49" s="698">
        <f t="shared" si="3"/>
        <v>2068</v>
      </c>
      <c r="AT49" s="698">
        <f t="shared" si="3"/>
        <v>2069</v>
      </c>
      <c r="AU49" s="699">
        <f t="shared" si="3"/>
        <v>2070</v>
      </c>
    </row>
    <row r="50" spans="2:47" s="15" customFormat="1" ht="13.5" outlineLevel="1" x14ac:dyDescent="0.25">
      <c r="B50" s="431" t="s">
        <v>977</v>
      </c>
      <c r="C50" s="719">
        <f>IF(OR(C49&lt;$C$7,C49&gt;$C$8),0,1)</f>
        <v>1</v>
      </c>
      <c r="D50" s="719">
        <f t="shared" ref="D50:AU50" si="4">IF(OR(D49&lt;$C$7,D49&gt;$C$8),0,1)</f>
        <v>1</v>
      </c>
      <c r="E50" s="719">
        <f t="shared" si="4"/>
        <v>1</v>
      </c>
      <c r="F50" s="719">
        <f t="shared" si="4"/>
        <v>1</v>
      </c>
      <c r="G50" s="719">
        <f t="shared" si="4"/>
        <v>1</v>
      </c>
      <c r="H50" s="719">
        <f t="shared" si="4"/>
        <v>1</v>
      </c>
      <c r="I50" s="719">
        <f t="shared" si="4"/>
        <v>1</v>
      </c>
      <c r="J50" s="719">
        <f t="shared" si="4"/>
        <v>1</v>
      </c>
      <c r="K50" s="719">
        <f t="shared" si="4"/>
        <v>1</v>
      </c>
      <c r="L50" s="719">
        <f t="shared" si="4"/>
        <v>1</v>
      </c>
      <c r="M50" s="719">
        <f t="shared" si="4"/>
        <v>1</v>
      </c>
      <c r="N50" s="719">
        <f t="shared" si="4"/>
        <v>1</v>
      </c>
      <c r="O50" s="719">
        <f t="shared" si="4"/>
        <v>1</v>
      </c>
      <c r="P50" s="719">
        <f t="shared" si="4"/>
        <v>1</v>
      </c>
      <c r="Q50" s="719">
        <f t="shared" si="4"/>
        <v>1</v>
      </c>
      <c r="R50" s="719">
        <f t="shared" si="4"/>
        <v>1</v>
      </c>
      <c r="S50" s="719">
        <f t="shared" si="4"/>
        <v>1</v>
      </c>
      <c r="T50" s="719">
        <f t="shared" si="4"/>
        <v>1</v>
      </c>
      <c r="U50" s="719">
        <f t="shared" si="4"/>
        <v>1</v>
      </c>
      <c r="V50" s="719">
        <f t="shared" si="4"/>
        <v>1</v>
      </c>
      <c r="W50" s="719">
        <f t="shared" si="4"/>
        <v>1</v>
      </c>
      <c r="X50" s="719">
        <f t="shared" si="4"/>
        <v>1</v>
      </c>
      <c r="Y50" s="719">
        <f t="shared" si="4"/>
        <v>1</v>
      </c>
      <c r="Z50" s="719">
        <f t="shared" si="4"/>
        <v>1</v>
      </c>
      <c r="AA50" s="719">
        <f t="shared" si="4"/>
        <v>1</v>
      </c>
      <c r="AB50" s="719">
        <f t="shared" si="4"/>
        <v>0</v>
      </c>
      <c r="AC50" s="719">
        <f t="shared" si="4"/>
        <v>0</v>
      </c>
      <c r="AD50" s="719">
        <f t="shared" si="4"/>
        <v>0</v>
      </c>
      <c r="AE50" s="719">
        <f t="shared" si="4"/>
        <v>0</v>
      </c>
      <c r="AF50" s="719">
        <f t="shared" si="4"/>
        <v>0</v>
      </c>
      <c r="AG50" s="719">
        <f t="shared" si="4"/>
        <v>0</v>
      </c>
      <c r="AH50" s="719">
        <f t="shared" si="4"/>
        <v>0</v>
      </c>
      <c r="AI50" s="719">
        <f t="shared" si="4"/>
        <v>0</v>
      </c>
      <c r="AJ50" s="719">
        <f t="shared" si="4"/>
        <v>0</v>
      </c>
      <c r="AK50" s="719">
        <f t="shared" si="4"/>
        <v>0</v>
      </c>
      <c r="AL50" s="719">
        <f t="shared" si="4"/>
        <v>0</v>
      </c>
      <c r="AM50" s="719">
        <f t="shared" si="4"/>
        <v>0</v>
      </c>
      <c r="AN50" s="719">
        <f t="shared" si="4"/>
        <v>0</v>
      </c>
      <c r="AO50" s="719">
        <f t="shared" si="4"/>
        <v>0</v>
      </c>
      <c r="AP50" s="719">
        <f t="shared" si="4"/>
        <v>0</v>
      </c>
      <c r="AQ50" s="719">
        <f t="shared" si="4"/>
        <v>0</v>
      </c>
      <c r="AR50" s="719">
        <f t="shared" si="4"/>
        <v>0</v>
      </c>
      <c r="AS50" s="719">
        <f t="shared" si="4"/>
        <v>0</v>
      </c>
      <c r="AT50" s="719">
        <f t="shared" si="4"/>
        <v>0</v>
      </c>
      <c r="AU50" s="434">
        <f t="shared" si="4"/>
        <v>0</v>
      </c>
    </row>
    <row r="51" spans="2:47" s="15" customFormat="1" ht="13.5" outlineLevel="1" x14ac:dyDescent="0.25">
      <c r="B51" s="723" t="s">
        <v>978</v>
      </c>
      <c r="C51" s="724">
        <f>$C$21/$C$23*C50</f>
        <v>917.85750399999995</v>
      </c>
      <c r="D51" s="724">
        <f>$C$21/$C$23*D50</f>
        <v>917.85750399999995</v>
      </c>
      <c r="E51" s="724">
        <f t="shared" ref="E51:AU51" si="5">$C$21/$C$23*E50</f>
        <v>917.85750399999995</v>
      </c>
      <c r="F51" s="724">
        <f t="shared" si="5"/>
        <v>917.85750399999995</v>
      </c>
      <c r="G51" s="724">
        <f t="shared" si="5"/>
        <v>917.85750399999995</v>
      </c>
      <c r="H51" s="724">
        <f t="shared" si="5"/>
        <v>917.85750399999995</v>
      </c>
      <c r="I51" s="724">
        <f t="shared" si="5"/>
        <v>917.85750399999995</v>
      </c>
      <c r="J51" s="724">
        <f t="shared" si="5"/>
        <v>917.85750399999995</v>
      </c>
      <c r="K51" s="724">
        <f t="shared" si="5"/>
        <v>917.85750399999995</v>
      </c>
      <c r="L51" s="724">
        <f t="shared" si="5"/>
        <v>917.85750399999995</v>
      </c>
      <c r="M51" s="724">
        <f t="shared" si="5"/>
        <v>917.85750399999995</v>
      </c>
      <c r="N51" s="724">
        <f t="shared" si="5"/>
        <v>917.85750399999995</v>
      </c>
      <c r="O51" s="724">
        <f t="shared" si="5"/>
        <v>917.85750399999995</v>
      </c>
      <c r="P51" s="724">
        <f t="shared" si="5"/>
        <v>917.85750399999995</v>
      </c>
      <c r="Q51" s="724">
        <f t="shared" si="5"/>
        <v>917.85750399999995</v>
      </c>
      <c r="R51" s="724">
        <f t="shared" si="5"/>
        <v>917.85750399999995</v>
      </c>
      <c r="S51" s="724">
        <f t="shared" si="5"/>
        <v>917.85750399999995</v>
      </c>
      <c r="T51" s="724">
        <f t="shared" si="5"/>
        <v>917.85750399999995</v>
      </c>
      <c r="U51" s="724">
        <f t="shared" si="5"/>
        <v>917.85750399999995</v>
      </c>
      <c r="V51" s="724">
        <f t="shared" si="5"/>
        <v>917.85750399999995</v>
      </c>
      <c r="W51" s="724">
        <f t="shared" si="5"/>
        <v>917.85750399999995</v>
      </c>
      <c r="X51" s="724">
        <f t="shared" si="5"/>
        <v>917.85750399999995</v>
      </c>
      <c r="Y51" s="724">
        <f t="shared" si="5"/>
        <v>917.85750399999995</v>
      </c>
      <c r="Z51" s="724">
        <f t="shared" si="5"/>
        <v>917.85750399999995</v>
      </c>
      <c r="AA51" s="724">
        <f t="shared" si="5"/>
        <v>917.85750399999995</v>
      </c>
      <c r="AB51" s="724">
        <f t="shared" si="5"/>
        <v>0</v>
      </c>
      <c r="AC51" s="724">
        <f t="shared" si="5"/>
        <v>0</v>
      </c>
      <c r="AD51" s="724">
        <f t="shared" si="5"/>
        <v>0</v>
      </c>
      <c r="AE51" s="724">
        <f t="shared" si="5"/>
        <v>0</v>
      </c>
      <c r="AF51" s="724">
        <f t="shared" si="5"/>
        <v>0</v>
      </c>
      <c r="AG51" s="724">
        <f t="shared" si="5"/>
        <v>0</v>
      </c>
      <c r="AH51" s="724">
        <f t="shared" si="5"/>
        <v>0</v>
      </c>
      <c r="AI51" s="724">
        <f t="shared" si="5"/>
        <v>0</v>
      </c>
      <c r="AJ51" s="724">
        <f t="shared" si="5"/>
        <v>0</v>
      </c>
      <c r="AK51" s="724">
        <f t="shared" si="5"/>
        <v>0</v>
      </c>
      <c r="AL51" s="724">
        <f t="shared" si="5"/>
        <v>0</v>
      </c>
      <c r="AM51" s="724">
        <f t="shared" si="5"/>
        <v>0</v>
      </c>
      <c r="AN51" s="724">
        <f t="shared" si="5"/>
        <v>0</v>
      </c>
      <c r="AO51" s="724">
        <f t="shared" si="5"/>
        <v>0</v>
      </c>
      <c r="AP51" s="724">
        <f t="shared" si="5"/>
        <v>0</v>
      </c>
      <c r="AQ51" s="724">
        <f t="shared" si="5"/>
        <v>0</v>
      </c>
      <c r="AR51" s="724">
        <f t="shared" si="5"/>
        <v>0</v>
      </c>
      <c r="AS51" s="724">
        <f t="shared" si="5"/>
        <v>0</v>
      </c>
      <c r="AT51" s="724">
        <f t="shared" si="5"/>
        <v>0</v>
      </c>
      <c r="AU51" s="725">
        <f t="shared" si="5"/>
        <v>0</v>
      </c>
    </row>
    <row r="52" spans="2:47" s="15" customFormat="1" ht="13.5" outlineLevel="1" x14ac:dyDescent="0.25">
      <c r="B52" s="431" t="s">
        <v>979</v>
      </c>
      <c r="C52" s="717">
        <f>C51</f>
        <v>917.85750399999995</v>
      </c>
      <c r="D52" s="717">
        <f>C52+D51</f>
        <v>1835.7150079999999</v>
      </c>
      <c r="E52" s="717">
        <f t="shared" ref="E52:AU52" si="6">D52+E51</f>
        <v>2753.5725119999997</v>
      </c>
      <c r="F52" s="717">
        <f t="shared" si="6"/>
        <v>3671.4300159999998</v>
      </c>
      <c r="G52" s="717">
        <f t="shared" si="6"/>
        <v>4589.2875199999999</v>
      </c>
      <c r="H52" s="717">
        <f t="shared" si="6"/>
        <v>5507.1450239999995</v>
      </c>
      <c r="I52" s="717">
        <f t="shared" si="6"/>
        <v>6425.0025279999991</v>
      </c>
      <c r="J52" s="717">
        <f t="shared" si="6"/>
        <v>7342.8600319999987</v>
      </c>
      <c r="K52" s="717">
        <f t="shared" si="6"/>
        <v>8260.7175359999983</v>
      </c>
      <c r="L52" s="717">
        <f t="shared" si="6"/>
        <v>9178.5750399999979</v>
      </c>
      <c r="M52" s="717">
        <f t="shared" si="6"/>
        <v>10096.432543999998</v>
      </c>
      <c r="N52" s="717">
        <f t="shared" si="6"/>
        <v>11014.290047999997</v>
      </c>
      <c r="O52" s="717">
        <f t="shared" si="6"/>
        <v>11932.147551999997</v>
      </c>
      <c r="P52" s="717">
        <f t="shared" si="6"/>
        <v>12850.005055999996</v>
      </c>
      <c r="Q52" s="717">
        <f t="shared" si="6"/>
        <v>13767.862559999996</v>
      </c>
      <c r="R52" s="717">
        <f t="shared" si="6"/>
        <v>14685.720063999996</v>
      </c>
      <c r="S52" s="717">
        <f t="shared" si="6"/>
        <v>15603.577567999995</v>
      </c>
      <c r="T52" s="717">
        <f t="shared" si="6"/>
        <v>16521.435071999997</v>
      </c>
      <c r="U52" s="717">
        <f t="shared" si="6"/>
        <v>17439.292575999996</v>
      </c>
      <c r="V52" s="717">
        <f t="shared" si="6"/>
        <v>18357.150079999996</v>
      </c>
      <c r="W52" s="717">
        <f t="shared" si="6"/>
        <v>19275.007583999995</v>
      </c>
      <c r="X52" s="717">
        <f t="shared" si="6"/>
        <v>20192.865087999995</v>
      </c>
      <c r="Y52" s="717">
        <f t="shared" si="6"/>
        <v>21110.722591999995</v>
      </c>
      <c r="Z52" s="717">
        <f t="shared" si="6"/>
        <v>22028.580095999994</v>
      </c>
      <c r="AA52" s="717">
        <f t="shared" si="6"/>
        <v>22946.437599999994</v>
      </c>
      <c r="AB52" s="717">
        <f t="shared" si="6"/>
        <v>22946.437599999994</v>
      </c>
      <c r="AC52" s="717">
        <f t="shared" si="6"/>
        <v>22946.437599999994</v>
      </c>
      <c r="AD52" s="717">
        <f t="shared" si="6"/>
        <v>22946.437599999994</v>
      </c>
      <c r="AE52" s="717">
        <f t="shared" si="6"/>
        <v>22946.437599999994</v>
      </c>
      <c r="AF52" s="717">
        <f t="shared" si="6"/>
        <v>22946.437599999994</v>
      </c>
      <c r="AG52" s="717">
        <f t="shared" si="6"/>
        <v>22946.437599999994</v>
      </c>
      <c r="AH52" s="717">
        <f t="shared" si="6"/>
        <v>22946.437599999994</v>
      </c>
      <c r="AI52" s="717">
        <f t="shared" si="6"/>
        <v>22946.437599999994</v>
      </c>
      <c r="AJ52" s="717">
        <f t="shared" si="6"/>
        <v>22946.437599999994</v>
      </c>
      <c r="AK52" s="717">
        <f t="shared" si="6"/>
        <v>22946.437599999994</v>
      </c>
      <c r="AL52" s="717">
        <f t="shared" si="6"/>
        <v>22946.437599999994</v>
      </c>
      <c r="AM52" s="717">
        <f t="shared" si="6"/>
        <v>22946.437599999994</v>
      </c>
      <c r="AN52" s="717">
        <f t="shared" si="6"/>
        <v>22946.437599999994</v>
      </c>
      <c r="AO52" s="717">
        <f t="shared" si="6"/>
        <v>22946.437599999994</v>
      </c>
      <c r="AP52" s="717">
        <f t="shared" si="6"/>
        <v>22946.437599999994</v>
      </c>
      <c r="AQ52" s="717">
        <f t="shared" si="6"/>
        <v>22946.437599999994</v>
      </c>
      <c r="AR52" s="717">
        <f t="shared" si="6"/>
        <v>22946.437599999994</v>
      </c>
      <c r="AS52" s="717">
        <f t="shared" si="6"/>
        <v>22946.437599999994</v>
      </c>
      <c r="AT52" s="717">
        <f t="shared" si="6"/>
        <v>22946.437599999994</v>
      </c>
      <c r="AU52" s="718">
        <f t="shared" si="6"/>
        <v>22946.437599999994</v>
      </c>
    </row>
    <row r="53" spans="2:47" s="15" customFormat="1" ht="13.5" outlineLevel="1" x14ac:dyDescent="0.25">
      <c r="B53" s="723" t="s">
        <v>980</v>
      </c>
      <c r="C53" s="724">
        <f>C51*$C$27</f>
        <v>917.85750399999995</v>
      </c>
      <c r="D53" s="724">
        <f t="shared" ref="D53:AU53" si="7">D51*$C$27</f>
        <v>917.85750399999995</v>
      </c>
      <c r="E53" s="724">
        <f t="shared" si="7"/>
        <v>917.85750399999995</v>
      </c>
      <c r="F53" s="724">
        <f t="shared" si="7"/>
        <v>917.85750399999995</v>
      </c>
      <c r="G53" s="724">
        <f t="shared" si="7"/>
        <v>917.85750399999995</v>
      </c>
      <c r="H53" s="724">
        <f t="shared" si="7"/>
        <v>917.85750399999995</v>
      </c>
      <c r="I53" s="724">
        <f t="shared" si="7"/>
        <v>917.85750399999995</v>
      </c>
      <c r="J53" s="724">
        <f t="shared" si="7"/>
        <v>917.85750399999995</v>
      </c>
      <c r="K53" s="724">
        <f t="shared" si="7"/>
        <v>917.85750399999995</v>
      </c>
      <c r="L53" s="724">
        <f t="shared" si="7"/>
        <v>917.85750399999995</v>
      </c>
      <c r="M53" s="724">
        <f t="shared" si="7"/>
        <v>917.85750399999995</v>
      </c>
      <c r="N53" s="724">
        <f t="shared" si="7"/>
        <v>917.85750399999995</v>
      </c>
      <c r="O53" s="724">
        <f t="shared" si="7"/>
        <v>917.85750399999995</v>
      </c>
      <c r="P53" s="724">
        <f t="shared" si="7"/>
        <v>917.85750399999995</v>
      </c>
      <c r="Q53" s="724">
        <f t="shared" si="7"/>
        <v>917.85750399999995</v>
      </c>
      <c r="R53" s="724">
        <f t="shared" si="7"/>
        <v>917.85750399999995</v>
      </c>
      <c r="S53" s="724">
        <f t="shared" si="7"/>
        <v>917.85750399999995</v>
      </c>
      <c r="T53" s="724">
        <f t="shared" si="7"/>
        <v>917.85750399999995</v>
      </c>
      <c r="U53" s="724">
        <f t="shared" si="7"/>
        <v>917.85750399999995</v>
      </c>
      <c r="V53" s="724">
        <f t="shared" si="7"/>
        <v>917.85750399999995</v>
      </c>
      <c r="W53" s="724">
        <f t="shared" si="7"/>
        <v>917.85750399999995</v>
      </c>
      <c r="X53" s="724">
        <f t="shared" si="7"/>
        <v>917.85750399999995</v>
      </c>
      <c r="Y53" s="724">
        <f t="shared" si="7"/>
        <v>917.85750399999995</v>
      </c>
      <c r="Z53" s="724">
        <f t="shared" si="7"/>
        <v>917.85750399999995</v>
      </c>
      <c r="AA53" s="724">
        <f t="shared" si="7"/>
        <v>917.85750399999995</v>
      </c>
      <c r="AB53" s="724">
        <f t="shared" si="7"/>
        <v>0</v>
      </c>
      <c r="AC53" s="724">
        <f t="shared" si="7"/>
        <v>0</v>
      </c>
      <c r="AD53" s="724">
        <f t="shared" si="7"/>
        <v>0</v>
      </c>
      <c r="AE53" s="724">
        <f t="shared" si="7"/>
        <v>0</v>
      </c>
      <c r="AF53" s="724">
        <f t="shared" si="7"/>
        <v>0</v>
      </c>
      <c r="AG53" s="724">
        <f t="shared" si="7"/>
        <v>0</v>
      </c>
      <c r="AH53" s="724">
        <f t="shared" si="7"/>
        <v>0</v>
      </c>
      <c r="AI53" s="724">
        <f t="shared" si="7"/>
        <v>0</v>
      </c>
      <c r="AJ53" s="724">
        <f t="shared" si="7"/>
        <v>0</v>
      </c>
      <c r="AK53" s="724">
        <f t="shared" si="7"/>
        <v>0</v>
      </c>
      <c r="AL53" s="724">
        <f t="shared" si="7"/>
        <v>0</v>
      </c>
      <c r="AM53" s="724">
        <f t="shared" si="7"/>
        <v>0</v>
      </c>
      <c r="AN53" s="724">
        <f t="shared" si="7"/>
        <v>0</v>
      </c>
      <c r="AO53" s="724">
        <f t="shared" si="7"/>
        <v>0</v>
      </c>
      <c r="AP53" s="724">
        <f t="shared" si="7"/>
        <v>0</v>
      </c>
      <c r="AQ53" s="724">
        <f t="shared" si="7"/>
        <v>0</v>
      </c>
      <c r="AR53" s="724">
        <f t="shared" si="7"/>
        <v>0</v>
      </c>
      <c r="AS53" s="724">
        <f t="shared" si="7"/>
        <v>0</v>
      </c>
      <c r="AT53" s="724">
        <f t="shared" si="7"/>
        <v>0</v>
      </c>
      <c r="AU53" s="725">
        <f t="shared" si="7"/>
        <v>0</v>
      </c>
    </row>
    <row r="54" spans="2:47" s="15" customFormat="1" ht="19.5" customHeight="1" outlineLevel="1" x14ac:dyDescent="0.25">
      <c r="B54" s="431" t="s">
        <v>981</v>
      </c>
      <c r="C54" s="717">
        <f>(C51*$C$22+C53*$C$24)/1000</f>
        <v>1285.0005055999998</v>
      </c>
      <c r="D54" s="717">
        <f t="shared" ref="D54:AU54" si="8">(D51*$C$22+D53*$C$24)/1000</f>
        <v>1285.0005055999998</v>
      </c>
      <c r="E54" s="717">
        <f t="shared" si="8"/>
        <v>1285.0005055999998</v>
      </c>
      <c r="F54" s="717">
        <f t="shared" si="8"/>
        <v>1285.0005055999998</v>
      </c>
      <c r="G54" s="717">
        <f t="shared" si="8"/>
        <v>1285.0005055999998</v>
      </c>
      <c r="H54" s="717">
        <f t="shared" si="8"/>
        <v>1285.0005055999998</v>
      </c>
      <c r="I54" s="717">
        <f t="shared" si="8"/>
        <v>1285.0005055999998</v>
      </c>
      <c r="J54" s="717">
        <f t="shared" si="8"/>
        <v>1285.0005055999998</v>
      </c>
      <c r="K54" s="717">
        <f t="shared" si="8"/>
        <v>1285.0005055999998</v>
      </c>
      <c r="L54" s="717">
        <f t="shared" si="8"/>
        <v>1285.0005055999998</v>
      </c>
      <c r="M54" s="717">
        <f t="shared" si="8"/>
        <v>1285.0005055999998</v>
      </c>
      <c r="N54" s="717">
        <f t="shared" si="8"/>
        <v>1285.0005055999998</v>
      </c>
      <c r="O54" s="717">
        <f t="shared" si="8"/>
        <v>1285.0005055999998</v>
      </c>
      <c r="P54" s="717">
        <f t="shared" si="8"/>
        <v>1285.0005055999998</v>
      </c>
      <c r="Q54" s="717">
        <f t="shared" si="8"/>
        <v>1285.0005055999998</v>
      </c>
      <c r="R54" s="717">
        <f t="shared" si="8"/>
        <v>1285.0005055999998</v>
      </c>
      <c r="S54" s="717">
        <f t="shared" si="8"/>
        <v>1285.0005055999998</v>
      </c>
      <c r="T54" s="717">
        <f t="shared" si="8"/>
        <v>1285.0005055999998</v>
      </c>
      <c r="U54" s="717">
        <f t="shared" si="8"/>
        <v>1285.0005055999998</v>
      </c>
      <c r="V54" s="717">
        <f t="shared" si="8"/>
        <v>1285.0005055999998</v>
      </c>
      <c r="W54" s="717">
        <f t="shared" si="8"/>
        <v>1285.0005055999998</v>
      </c>
      <c r="X54" s="717">
        <f t="shared" si="8"/>
        <v>1285.0005055999998</v>
      </c>
      <c r="Y54" s="717">
        <f t="shared" si="8"/>
        <v>1285.0005055999998</v>
      </c>
      <c r="Z54" s="717">
        <f t="shared" si="8"/>
        <v>1285.0005055999998</v>
      </c>
      <c r="AA54" s="717">
        <f t="shared" si="8"/>
        <v>1285.0005055999998</v>
      </c>
      <c r="AB54" s="717">
        <f t="shared" si="8"/>
        <v>0</v>
      </c>
      <c r="AC54" s="717">
        <f t="shared" si="8"/>
        <v>0</v>
      </c>
      <c r="AD54" s="717">
        <f t="shared" si="8"/>
        <v>0</v>
      </c>
      <c r="AE54" s="717">
        <f t="shared" si="8"/>
        <v>0</v>
      </c>
      <c r="AF54" s="717">
        <f t="shared" si="8"/>
        <v>0</v>
      </c>
      <c r="AG54" s="717">
        <f t="shared" si="8"/>
        <v>0</v>
      </c>
      <c r="AH54" s="717">
        <f t="shared" si="8"/>
        <v>0</v>
      </c>
      <c r="AI54" s="717">
        <f t="shared" si="8"/>
        <v>0</v>
      </c>
      <c r="AJ54" s="717">
        <f t="shared" si="8"/>
        <v>0</v>
      </c>
      <c r="AK54" s="717">
        <f t="shared" si="8"/>
        <v>0</v>
      </c>
      <c r="AL54" s="717">
        <f t="shared" si="8"/>
        <v>0</v>
      </c>
      <c r="AM54" s="717">
        <f t="shared" si="8"/>
        <v>0</v>
      </c>
      <c r="AN54" s="717">
        <f t="shared" si="8"/>
        <v>0</v>
      </c>
      <c r="AO54" s="717">
        <f t="shared" si="8"/>
        <v>0</v>
      </c>
      <c r="AP54" s="717">
        <f t="shared" si="8"/>
        <v>0</v>
      </c>
      <c r="AQ54" s="717">
        <f t="shared" si="8"/>
        <v>0</v>
      </c>
      <c r="AR54" s="717">
        <f t="shared" si="8"/>
        <v>0</v>
      </c>
      <c r="AS54" s="717">
        <f t="shared" si="8"/>
        <v>0</v>
      </c>
      <c r="AT54" s="717">
        <f t="shared" si="8"/>
        <v>0</v>
      </c>
      <c r="AU54" s="718">
        <f t="shared" si="8"/>
        <v>0</v>
      </c>
    </row>
    <row r="55" spans="2:47" s="15" customFormat="1" ht="13.5" outlineLevel="1" x14ac:dyDescent="0.25">
      <c r="B55" s="723" t="s">
        <v>982</v>
      </c>
      <c r="C55" s="724">
        <f>C57*$C$25/1000</f>
        <v>50.482162719999991</v>
      </c>
      <c r="D55" s="724">
        <f t="shared" ref="D55:AU55" si="9">D57*$C$25/1000</f>
        <v>100.71191462639999</v>
      </c>
      <c r="E55" s="724">
        <f t="shared" si="9"/>
        <v>150.690517773268</v>
      </c>
      <c r="F55" s="724">
        <f t="shared" si="9"/>
        <v>200.41922790440162</v>
      </c>
      <c r="G55" s="724">
        <f t="shared" si="9"/>
        <v>249.89929448487965</v>
      </c>
      <c r="H55" s="724">
        <f t="shared" si="9"/>
        <v>299.13196073245524</v>
      </c>
      <c r="I55" s="724">
        <f t="shared" si="9"/>
        <v>348.11846364879301</v>
      </c>
      <c r="J55" s="724">
        <f t="shared" si="9"/>
        <v>396.86003405054902</v>
      </c>
      <c r="K55" s="724">
        <f t="shared" si="9"/>
        <v>445.35789660029627</v>
      </c>
      <c r="L55" s="724">
        <f t="shared" si="9"/>
        <v>493.61326983729475</v>
      </c>
      <c r="M55" s="724">
        <f t="shared" si="9"/>
        <v>541.62736620810824</v>
      </c>
      <c r="N55" s="724">
        <f t="shared" si="9"/>
        <v>589.40139209706774</v>
      </c>
      <c r="O55" s="724">
        <f t="shared" si="9"/>
        <v>636.93654785658248</v>
      </c>
      <c r="P55" s="724">
        <f t="shared" si="9"/>
        <v>684.23402783729955</v>
      </c>
      <c r="Q55" s="724">
        <f t="shared" si="9"/>
        <v>731.29502041811293</v>
      </c>
      <c r="R55" s="724">
        <f t="shared" si="9"/>
        <v>778.12070803602251</v>
      </c>
      <c r="S55" s="724">
        <f t="shared" si="9"/>
        <v>824.71226721584242</v>
      </c>
      <c r="T55" s="724">
        <f t="shared" si="9"/>
        <v>871.07086859976334</v>
      </c>
      <c r="U55" s="724">
        <f t="shared" si="9"/>
        <v>917.19767697676434</v>
      </c>
      <c r="V55" s="724">
        <f t="shared" si="9"/>
        <v>963.0938513118806</v>
      </c>
      <c r="W55" s="724">
        <f t="shared" si="9"/>
        <v>1008.7605447753213</v>
      </c>
      <c r="X55" s="724">
        <f t="shared" si="9"/>
        <v>1054.1989047714446</v>
      </c>
      <c r="Y55" s="724">
        <f t="shared" si="9"/>
        <v>1099.4100729675874</v>
      </c>
      <c r="Z55" s="724">
        <f t="shared" si="9"/>
        <v>1144.3951853227497</v>
      </c>
      <c r="AA55" s="724">
        <f t="shared" si="9"/>
        <v>1189.1553721161358</v>
      </c>
      <c r="AB55" s="724">
        <f t="shared" si="9"/>
        <v>1183.2095952555551</v>
      </c>
      <c r="AC55" s="724">
        <f t="shared" si="9"/>
        <v>1177.2935472792776</v>
      </c>
      <c r="AD55" s="724">
        <f t="shared" si="9"/>
        <v>1171.4070795428811</v>
      </c>
      <c r="AE55" s="724">
        <f t="shared" si="9"/>
        <v>1165.5500441451666</v>
      </c>
      <c r="AF55" s="724">
        <f t="shared" si="9"/>
        <v>1159.7222939244409</v>
      </c>
      <c r="AG55" s="724">
        <f t="shared" si="9"/>
        <v>1153.9236824548186</v>
      </c>
      <c r="AH55" s="724">
        <f t="shared" si="9"/>
        <v>1148.1540640425446</v>
      </c>
      <c r="AI55" s="724">
        <f t="shared" si="9"/>
        <v>1142.4132937223319</v>
      </c>
      <c r="AJ55" s="724">
        <f t="shared" si="9"/>
        <v>1136.7012272537202</v>
      </c>
      <c r="AK55" s="724">
        <f t="shared" si="9"/>
        <v>1131.0177211174516</v>
      </c>
      <c r="AL55" s="724">
        <f t="shared" si="9"/>
        <v>1125.3626325118641</v>
      </c>
      <c r="AM55" s="724">
        <f t="shared" si="9"/>
        <v>1119.7358193493051</v>
      </c>
      <c r="AN55" s="724">
        <f t="shared" si="9"/>
        <v>1114.1371402525585</v>
      </c>
      <c r="AO55" s="724">
        <f t="shared" si="9"/>
        <v>1108.5664545512957</v>
      </c>
      <c r="AP55" s="724">
        <f t="shared" si="9"/>
        <v>1103.0236222785393</v>
      </c>
      <c r="AQ55" s="724">
        <f t="shared" si="9"/>
        <v>1097.5085041671466</v>
      </c>
      <c r="AR55" s="724">
        <f t="shared" si="9"/>
        <v>1092.0209616463108</v>
      </c>
      <c r="AS55" s="724">
        <f t="shared" si="9"/>
        <v>1086.5608568380792</v>
      </c>
      <c r="AT55" s="724">
        <f t="shared" si="9"/>
        <v>1081.1280525538889</v>
      </c>
      <c r="AU55" s="725">
        <f t="shared" si="9"/>
        <v>1075.7224122911193</v>
      </c>
    </row>
    <row r="56" spans="2:47" s="39" customFormat="1" ht="13.5" outlineLevel="1" x14ac:dyDescent="0.25">
      <c r="B56" s="715" t="s">
        <v>983</v>
      </c>
      <c r="C56" s="720">
        <f>C54-C55</f>
        <v>1234.5183428799999</v>
      </c>
      <c r="D56" s="720">
        <f t="shared" ref="D56:AU56" si="10">D54-D55</f>
        <v>1184.2885909735999</v>
      </c>
      <c r="E56" s="720">
        <f t="shared" si="10"/>
        <v>1134.3099878267317</v>
      </c>
      <c r="F56" s="720">
        <f t="shared" si="10"/>
        <v>1084.5812776955981</v>
      </c>
      <c r="G56" s="720">
        <f t="shared" si="10"/>
        <v>1035.1012111151201</v>
      </c>
      <c r="H56" s="720">
        <f t="shared" si="10"/>
        <v>985.86854486754453</v>
      </c>
      <c r="I56" s="720">
        <f t="shared" si="10"/>
        <v>936.8820419512067</v>
      </c>
      <c r="J56" s="720">
        <f t="shared" si="10"/>
        <v>888.14047154945069</v>
      </c>
      <c r="K56" s="720">
        <f t="shared" si="10"/>
        <v>839.6426089997035</v>
      </c>
      <c r="L56" s="720">
        <f t="shared" si="10"/>
        <v>791.38723576270502</v>
      </c>
      <c r="M56" s="720">
        <f t="shared" si="10"/>
        <v>743.37313939189153</v>
      </c>
      <c r="N56" s="720">
        <f t="shared" si="10"/>
        <v>695.59911350293203</v>
      </c>
      <c r="O56" s="720">
        <f t="shared" si="10"/>
        <v>648.06395774341729</v>
      </c>
      <c r="P56" s="720">
        <f t="shared" si="10"/>
        <v>600.76647776270022</v>
      </c>
      <c r="Q56" s="720">
        <f t="shared" si="10"/>
        <v>553.70548518188684</v>
      </c>
      <c r="R56" s="720">
        <f t="shared" si="10"/>
        <v>506.87979756397726</v>
      </c>
      <c r="S56" s="720">
        <f t="shared" si="10"/>
        <v>460.28823838415735</v>
      </c>
      <c r="T56" s="720">
        <f t="shared" si="10"/>
        <v>413.92963700023643</v>
      </c>
      <c r="U56" s="720">
        <f t="shared" si="10"/>
        <v>367.80282862323543</v>
      </c>
      <c r="V56" s="720">
        <f t="shared" si="10"/>
        <v>321.90665428811917</v>
      </c>
      <c r="W56" s="720">
        <f t="shared" si="10"/>
        <v>276.23996082467852</v>
      </c>
      <c r="X56" s="720">
        <f t="shared" si="10"/>
        <v>230.80160082855514</v>
      </c>
      <c r="Y56" s="720">
        <f t="shared" si="10"/>
        <v>185.59043263241233</v>
      </c>
      <c r="Z56" s="720">
        <f t="shared" si="10"/>
        <v>140.60532027725003</v>
      </c>
      <c r="AA56" s="720">
        <f t="shared" si="10"/>
        <v>95.845133483863947</v>
      </c>
      <c r="AB56" s="720">
        <f t="shared" si="10"/>
        <v>-1183.2095952555551</v>
      </c>
      <c r="AC56" s="720">
        <f t="shared" si="10"/>
        <v>-1177.2935472792776</v>
      </c>
      <c r="AD56" s="720">
        <f t="shared" si="10"/>
        <v>-1171.4070795428811</v>
      </c>
      <c r="AE56" s="720">
        <f t="shared" si="10"/>
        <v>-1165.5500441451666</v>
      </c>
      <c r="AF56" s="720">
        <f t="shared" si="10"/>
        <v>-1159.7222939244409</v>
      </c>
      <c r="AG56" s="720">
        <f t="shared" si="10"/>
        <v>-1153.9236824548186</v>
      </c>
      <c r="AH56" s="720">
        <f t="shared" si="10"/>
        <v>-1148.1540640425446</v>
      </c>
      <c r="AI56" s="720">
        <f t="shared" si="10"/>
        <v>-1142.4132937223319</v>
      </c>
      <c r="AJ56" s="720">
        <f t="shared" si="10"/>
        <v>-1136.7012272537202</v>
      </c>
      <c r="AK56" s="720">
        <f t="shared" si="10"/>
        <v>-1131.0177211174516</v>
      </c>
      <c r="AL56" s="720">
        <f t="shared" si="10"/>
        <v>-1125.3626325118641</v>
      </c>
      <c r="AM56" s="720">
        <f t="shared" si="10"/>
        <v>-1119.7358193493051</v>
      </c>
      <c r="AN56" s="720">
        <f t="shared" si="10"/>
        <v>-1114.1371402525585</v>
      </c>
      <c r="AO56" s="720">
        <f t="shared" si="10"/>
        <v>-1108.5664545512957</v>
      </c>
      <c r="AP56" s="720">
        <f t="shared" si="10"/>
        <v>-1103.0236222785393</v>
      </c>
      <c r="AQ56" s="720">
        <f t="shared" si="10"/>
        <v>-1097.5085041671466</v>
      </c>
      <c r="AR56" s="720">
        <f t="shared" si="10"/>
        <v>-1092.0209616463108</v>
      </c>
      <c r="AS56" s="720">
        <f t="shared" si="10"/>
        <v>-1086.5608568380792</v>
      </c>
      <c r="AT56" s="720">
        <f t="shared" si="10"/>
        <v>-1081.1280525538889</v>
      </c>
      <c r="AU56" s="721">
        <f t="shared" si="10"/>
        <v>-1075.7224122911193</v>
      </c>
    </row>
    <row r="57" spans="2:47" s="39" customFormat="1" ht="13.5" outlineLevel="1" x14ac:dyDescent="0.25">
      <c r="B57" s="696" t="s">
        <v>984</v>
      </c>
      <c r="C57" s="729">
        <f>C52*$C$26/1000</f>
        <v>1009.6432543999999</v>
      </c>
      <c r="D57" s="729">
        <f>C57*(1-$C$28)+D51*$C$26/1000</f>
        <v>2014.2382925279999</v>
      </c>
      <c r="E57" s="729">
        <f t="shared" ref="E57:AU57" si="11">D57*(1-$C$28)+E51*$C$26/1000</f>
        <v>3013.8103554653599</v>
      </c>
      <c r="F57" s="729">
        <f t="shared" si="11"/>
        <v>4008.3845580880329</v>
      </c>
      <c r="G57" s="729">
        <f t="shared" si="11"/>
        <v>4997.9858896975929</v>
      </c>
      <c r="H57" s="729">
        <f t="shared" si="11"/>
        <v>5982.6392146491053</v>
      </c>
      <c r="I57" s="729">
        <f t="shared" si="11"/>
        <v>6962.3692729758595</v>
      </c>
      <c r="J57" s="729">
        <f t="shared" si="11"/>
        <v>7937.2006810109806</v>
      </c>
      <c r="K57" s="729">
        <f t="shared" si="11"/>
        <v>8907.1579320059245</v>
      </c>
      <c r="L57" s="729">
        <f t="shared" si="11"/>
        <v>9872.2653967458955</v>
      </c>
      <c r="M57" s="729">
        <f t="shared" si="11"/>
        <v>10832.547324162166</v>
      </c>
      <c r="N57" s="729">
        <f t="shared" si="11"/>
        <v>11788.027841941355</v>
      </c>
      <c r="O57" s="729">
        <f t="shared" si="11"/>
        <v>12738.730957131649</v>
      </c>
      <c r="P57" s="729">
        <f t="shared" si="11"/>
        <v>13684.680556745991</v>
      </c>
      <c r="Q57" s="729">
        <f t="shared" si="11"/>
        <v>14625.90040836226</v>
      </c>
      <c r="R57" s="729">
        <f t="shared" si="11"/>
        <v>15562.414160720449</v>
      </c>
      <c r="S57" s="729">
        <f t="shared" si="11"/>
        <v>16494.245344316849</v>
      </c>
      <c r="T57" s="729">
        <f t="shared" si="11"/>
        <v>17421.417371995267</v>
      </c>
      <c r="U57" s="729">
        <f t="shared" si="11"/>
        <v>18343.953539535287</v>
      </c>
      <c r="V57" s="729">
        <f t="shared" si="11"/>
        <v>19261.877026237613</v>
      </c>
      <c r="W57" s="729">
        <f t="shared" si="11"/>
        <v>20175.210895506425</v>
      </c>
      <c r="X57" s="729">
        <f t="shared" si="11"/>
        <v>21083.978095428894</v>
      </c>
      <c r="Y57" s="729">
        <f t="shared" si="11"/>
        <v>21988.201459351752</v>
      </c>
      <c r="Z57" s="729">
        <f t="shared" si="11"/>
        <v>22887.903706454992</v>
      </c>
      <c r="AA57" s="729">
        <f t="shared" si="11"/>
        <v>23783.107442322718</v>
      </c>
      <c r="AB57" s="729">
        <f t="shared" si="11"/>
        <v>23664.191905111104</v>
      </c>
      <c r="AC57" s="729">
        <f t="shared" si="11"/>
        <v>23545.87094558555</v>
      </c>
      <c r="AD57" s="729">
        <f t="shared" si="11"/>
        <v>23428.14159085762</v>
      </c>
      <c r="AE57" s="729">
        <f t="shared" si="11"/>
        <v>23311.000882903332</v>
      </c>
      <c r="AF57" s="729">
        <f t="shared" si="11"/>
        <v>23194.445878488816</v>
      </c>
      <c r="AG57" s="729">
        <f t="shared" si="11"/>
        <v>23078.473649096373</v>
      </c>
      <c r="AH57" s="729">
        <f t="shared" si="11"/>
        <v>22963.081280850893</v>
      </c>
      <c r="AI57" s="729">
        <f t="shared" si="11"/>
        <v>22848.265874446639</v>
      </c>
      <c r="AJ57" s="729">
        <f t="shared" si="11"/>
        <v>22734.024545074404</v>
      </c>
      <c r="AK57" s="729">
        <f t="shared" si="11"/>
        <v>22620.354422349032</v>
      </c>
      <c r="AL57" s="729">
        <f t="shared" si="11"/>
        <v>22507.252650237286</v>
      </c>
      <c r="AM57" s="729">
        <f t="shared" si="11"/>
        <v>22394.7163869861</v>
      </c>
      <c r="AN57" s="729">
        <f t="shared" si="11"/>
        <v>22282.74280505117</v>
      </c>
      <c r="AO57" s="729">
        <f t="shared" si="11"/>
        <v>22171.329091025913</v>
      </c>
      <c r="AP57" s="729">
        <f t="shared" si="11"/>
        <v>22060.472445570784</v>
      </c>
      <c r="AQ57" s="729">
        <f t="shared" si="11"/>
        <v>21950.170083342931</v>
      </c>
      <c r="AR57" s="729">
        <f t="shared" si="11"/>
        <v>21840.419232926215</v>
      </c>
      <c r="AS57" s="729">
        <f t="shared" si="11"/>
        <v>21731.217136761585</v>
      </c>
      <c r="AT57" s="729">
        <f t="shared" si="11"/>
        <v>21622.561051077777</v>
      </c>
      <c r="AU57" s="747">
        <f t="shared" si="11"/>
        <v>21514.448245822387</v>
      </c>
    </row>
    <row r="58" spans="2:47" s="15" customFormat="1" ht="13.5" outlineLevel="1" x14ac:dyDescent="0.25">
      <c r="B58" s="431"/>
      <c r="C58" s="719"/>
      <c r="D58" s="719"/>
      <c r="E58" s="719"/>
      <c r="F58" s="719"/>
      <c r="G58" s="719"/>
      <c r="H58" s="719"/>
      <c r="I58" s="719"/>
      <c r="J58" s="719"/>
      <c r="K58" s="719"/>
      <c r="L58" s="719"/>
      <c r="M58" s="719"/>
      <c r="N58" s="719"/>
      <c r="O58" s="719"/>
      <c r="P58" s="719"/>
      <c r="Q58" s="719"/>
      <c r="R58" s="719"/>
      <c r="S58" s="719"/>
      <c r="T58" s="719"/>
      <c r="U58" s="719"/>
      <c r="V58" s="719"/>
      <c r="W58" s="719"/>
      <c r="X58" s="719"/>
      <c r="Y58" s="719"/>
      <c r="Z58" s="719"/>
      <c r="AA58" s="719"/>
      <c r="AB58" s="719"/>
      <c r="AC58" s="719"/>
      <c r="AD58" s="719"/>
      <c r="AE58" s="719"/>
      <c r="AF58" s="719"/>
      <c r="AG58" s="719"/>
      <c r="AH58" s="719"/>
      <c r="AI58" s="719"/>
      <c r="AJ58" s="719"/>
      <c r="AK58" s="719"/>
      <c r="AL58" s="719"/>
      <c r="AM58" s="719"/>
      <c r="AN58" s="719"/>
      <c r="AO58" s="719"/>
      <c r="AP58" s="719"/>
      <c r="AQ58" s="719"/>
      <c r="AR58" s="719"/>
      <c r="AS58" s="719"/>
      <c r="AT58" s="719"/>
      <c r="AU58" s="434"/>
    </row>
    <row r="59" spans="2:47" s="15" customFormat="1" ht="13.5" outlineLevel="1" x14ac:dyDescent="0.25">
      <c r="B59" s="723" t="s">
        <v>985</v>
      </c>
      <c r="C59" s="753">
        <f>SISENDID!F366</f>
        <v>0.53523428571428566</v>
      </c>
      <c r="D59" s="753">
        <f>SISENDID!G366</f>
        <v>0.47642571428571423</v>
      </c>
      <c r="E59" s="753">
        <f>SISENDID!H366</f>
        <v>0.4176171428571428</v>
      </c>
      <c r="F59" s="753">
        <f>SISENDID!I366</f>
        <v>0.35880857142857137</v>
      </c>
      <c r="G59" s="753">
        <f>SISENDID!J366</f>
        <v>0.3</v>
      </c>
      <c r="H59" s="753">
        <f>SISENDID!K366</f>
        <v>0.27999999999999997</v>
      </c>
      <c r="I59" s="753">
        <f>SISENDID!L366</f>
        <v>0.25999999999999995</v>
      </c>
      <c r="J59" s="753">
        <f>SISENDID!M366</f>
        <v>0.23999999999999996</v>
      </c>
      <c r="K59" s="753">
        <f>SISENDID!N366</f>
        <v>0.21999999999999997</v>
      </c>
      <c r="L59" s="753">
        <f>SISENDID!O366</f>
        <v>0.19999999999999998</v>
      </c>
      <c r="M59" s="753">
        <f>SISENDID!P366</f>
        <v>0.18</v>
      </c>
      <c r="N59" s="753">
        <f>SISENDID!Q366</f>
        <v>0.16</v>
      </c>
      <c r="O59" s="753">
        <f>SISENDID!R366</f>
        <v>0.14000000000000001</v>
      </c>
      <c r="P59" s="753">
        <f>SISENDID!S366</f>
        <v>0.12000000000000002</v>
      </c>
      <c r="Q59" s="753">
        <f>SISENDID!T366</f>
        <v>0.1</v>
      </c>
      <c r="R59" s="753">
        <f>SISENDID!U366</f>
        <v>9.0000000000000011E-2</v>
      </c>
      <c r="S59" s="753">
        <f>SISENDID!V366</f>
        <v>8.0000000000000016E-2</v>
      </c>
      <c r="T59" s="753">
        <f>SISENDID!W366</f>
        <v>7.0000000000000021E-2</v>
      </c>
      <c r="U59" s="753">
        <f>SISENDID!X366</f>
        <v>6.0000000000000019E-2</v>
      </c>
      <c r="V59" s="753">
        <f>SISENDID!Y366</f>
        <v>5.0000000000000017E-2</v>
      </c>
      <c r="W59" s="753">
        <f>SISENDID!Z366</f>
        <v>4.0000000000000015E-2</v>
      </c>
      <c r="X59" s="753">
        <f>SISENDID!AA366</f>
        <v>3.0000000000000013E-2</v>
      </c>
      <c r="Y59" s="753">
        <f>SISENDID!AB366</f>
        <v>2.0000000000000011E-2</v>
      </c>
      <c r="Z59" s="753">
        <f>SISENDID!AC366</f>
        <v>1.0000000000000011E-2</v>
      </c>
      <c r="AA59" s="753">
        <f>SISENDID!AD366</f>
        <v>0</v>
      </c>
      <c r="AB59" s="753">
        <f>SISENDID!AE366</f>
        <v>0</v>
      </c>
      <c r="AC59" s="753">
        <f>SISENDID!AF366</f>
        <v>0</v>
      </c>
      <c r="AD59" s="753">
        <f>SISENDID!AG366</f>
        <v>0</v>
      </c>
      <c r="AE59" s="753">
        <f>SISENDID!AH366</f>
        <v>0</v>
      </c>
      <c r="AF59" s="753">
        <f>SISENDID!AI366</f>
        <v>0</v>
      </c>
      <c r="AG59" s="753">
        <f>SISENDID!AJ366</f>
        <v>0</v>
      </c>
      <c r="AH59" s="753">
        <f>SISENDID!AK366</f>
        <v>0</v>
      </c>
      <c r="AI59" s="753">
        <f>SISENDID!AL366</f>
        <v>0</v>
      </c>
      <c r="AJ59" s="753">
        <f>SISENDID!AM366</f>
        <v>0</v>
      </c>
      <c r="AK59" s="753">
        <f>SISENDID!AN366</f>
        <v>0</v>
      </c>
      <c r="AL59" s="753">
        <f>SISENDID!AO366</f>
        <v>0</v>
      </c>
      <c r="AM59" s="753">
        <f>SISENDID!AP366</f>
        <v>0</v>
      </c>
      <c r="AN59" s="753">
        <f>SISENDID!AQ366</f>
        <v>0</v>
      </c>
      <c r="AO59" s="753">
        <f>SISENDID!AR366</f>
        <v>0</v>
      </c>
      <c r="AP59" s="753">
        <f>SISENDID!AS366</f>
        <v>0</v>
      </c>
      <c r="AQ59" s="753">
        <f>SISENDID!AT366</f>
        <v>0</v>
      </c>
      <c r="AR59" s="753">
        <f>SISENDID!AU366</f>
        <v>0</v>
      </c>
      <c r="AS59" s="753">
        <f>SISENDID!AV366</f>
        <v>0</v>
      </c>
      <c r="AT59" s="753">
        <f>SISENDID!AW366</f>
        <v>0</v>
      </c>
      <c r="AU59" s="754">
        <f>SISENDID!AX366</f>
        <v>0</v>
      </c>
    </row>
    <row r="60" spans="2:47" s="39" customFormat="1" ht="13.5" outlineLevel="1" x14ac:dyDescent="0.25">
      <c r="B60" s="696" t="s">
        <v>986</v>
      </c>
      <c r="C60" s="729">
        <f t="shared" ref="C60:AU60" si="12">C59*C57</f>
        <v>540.39568609503078</v>
      </c>
      <c r="D60" s="729">
        <f t="shared" si="12"/>
        <v>959.63491725928975</v>
      </c>
      <c r="E60" s="729">
        <f t="shared" si="12"/>
        <v>1258.6188697627135</v>
      </c>
      <c r="F60" s="729">
        <f t="shared" si="12"/>
        <v>1438.2427370239125</v>
      </c>
      <c r="G60" s="729">
        <f t="shared" si="12"/>
        <v>1499.3957669092779</v>
      </c>
      <c r="H60" s="729">
        <f t="shared" si="12"/>
        <v>1675.1389801017492</v>
      </c>
      <c r="I60" s="729">
        <f t="shared" si="12"/>
        <v>1810.2160109737231</v>
      </c>
      <c r="J60" s="729">
        <f t="shared" si="12"/>
        <v>1904.928163442635</v>
      </c>
      <c r="K60" s="729">
        <f t="shared" si="12"/>
        <v>1959.5747450413032</v>
      </c>
      <c r="L60" s="729">
        <f t="shared" si="12"/>
        <v>1974.453079349179</v>
      </c>
      <c r="M60" s="729">
        <f t="shared" si="12"/>
        <v>1949.8585183491898</v>
      </c>
      <c r="N60" s="729">
        <f t="shared" si="12"/>
        <v>1886.0844547106169</v>
      </c>
      <c r="O60" s="729">
        <f t="shared" si="12"/>
        <v>1783.422333998431</v>
      </c>
      <c r="P60" s="729">
        <f t="shared" si="12"/>
        <v>1642.1616668095191</v>
      </c>
      <c r="Q60" s="729">
        <f t="shared" si="12"/>
        <v>1462.5900408362261</v>
      </c>
      <c r="R60" s="729">
        <f t="shared" si="12"/>
        <v>1400.6172744648406</v>
      </c>
      <c r="S60" s="729">
        <f t="shared" si="12"/>
        <v>1319.5396275453481</v>
      </c>
      <c r="T60" s="729">
        <f t="shared" si="12"/>
        <v>1219.4992160396691</v>
      </c>
      <c r="U60" s="729">
        <f t="shared" si="12"/>
        <v>1100.6372123721176</v>
      </c>
      <c r="V60" s="729">
        <f t="shared" si="12"/>
        <v>963.09385131188094</v>
      </c>
      <c r="W60" s="729">
        <f t="shared" si="12"/>
        <v>807.00843582025732</v>
      </c>
      <c r="X60" s="729">
        <f t="shared" si="12"/>
        <v>632.51934286286712</v>
      </c>
      <c r="Y60" s="729">
        <f t="shared" si="12"/>
        <v>439.76402918703531</v>
      </c>
      <c r="Z60" s="729">
        <f t="shared" si="12"/>
        <v>228.87903706455018</v>
      </c>
      <c r="AA60" s="729">
        <f t="shared" si="12"/>
        <v>0</v>
      </c>
      <c r="AB60" s="729">
        <f t="shared" si="12"/>
        <v>0</v>
      </c>
      <c r="AC60" s="729">
        <f t="shared" si="12"/>
        <v>0</v>
      </c>
      <c r="AD60" s="729">
        <f t="shared" si="12"/>
        <v>0</v>
      </c>
      <c r="AE60" s="729">
        <f t="shared" si="12"/>
        <v>0</v>
      </c>
      <c r="AF60" s="729">
        <f t="shared" si="12"/>
        <v>0</v>
      </c>
      <c r="AG60" s="729">
        <f t="shared" si="12"/>
        <v>0</v>
      </c>
      <c r="AH60" s="729">
        <f t="shared" si="12"/>
        <v>0</v>
      </c>
      <c r="AI60" s="729">
        <f t="shared" si="12"/>
        <v>0</v>
      </c>
      <c r="AJ60" s="729">
        <f t="shared" si="12"/>
        <v>0</v>
      </c>
      <c r="AK60" s="729">
        <f t="shared" si="12"/>
        <v>0</v>
      </c>
      <c r="AL60" s="729">
        <f t="shared" si="12"/>
        <v>0</v>
      </c>
      <c r="AM60" s="729">
        <f t="shared" si="12"/>
        <v>0</v>
      </c>
      <c r="AN60" s="729">
        <f t="shared" si="12"/>
        <v>0</v>
      </c>
      <c r="AO60" s="729">
        <f t="shared" si="12"/>
        <v>0</v>
      </c>
      <c r="AP60" s="729">
        <f t="shared" si="12"/>
        <v>0</v>
      </c>
      <c r="AQ60" s="729">
        <f t="shared" si="12"/>
        <v>0</v>
      </c>
      <c r="AR60" s="729">
        <f t="shared" si="12"/>
        <v>0</v>
      </c>
      <c r="AS60" s="729">
        <f t="shared" si="12"/>
        <v>0</v>
      </c>
      <c r="AT60" s="729">
        <f t="shared" si="12"/>
        <v>0</v>
      </c>
      <c r="AU60" s="747">
        <f t="shared" si="12"/>
        <v>0</v>
      </c>
    </row>
    <row r="61" spans="2:47" s="15" customFormat="1" ht="18.75" customHeight="1" x14ac:dyDescent="0.25"/>
    <row r="62" spans="2:47" s="15" customFormat="1" ht="13.5" x14ac:dyDescent="0.25"/>
    <row r="63" spans="2:47" s="15" customFormat="1" ht="13.5" x14ac:dyDescent="0.25">
      <c r="C63" s="237"/>
      <c r="D63" s="237"/>
    </row>
    <row r="64" spans="2:47" x14ac:dyDescent="0.25">
      <c r="C64" s="238"/>
      <c r="D64" s="237"/>
    </row>
    <row r="65" spans="3:5" x14ac:dyDescent="0.25">
      <c r="C65" s="238"/>
      <c r="D65" s="237"/>
    </row>
    <row r="66" spans="3:5" x14ac:dyDescent="0.25">
      <c r="C66" s="238"/>
      <c r="D66" s="1"/>
      <c r="E66" s="239"/>
    </row>
    <row r="67" spans="3:5" x14ac:dyDescent="0.25">
      <c r="C67" s="238"/>
      <c r="D67" s="1"/>
      <c r="E67" s="240"/>
    </row>
    <row r="68" spans="3:5" x14ac:dyDescent="0.25">
      <c r="C68" s="238"/>
      <c r="D68" s="1"/>
      <c r="E68" s="237"/>
    </row>
    <row r="69" spans="3:5" x14ac:dyDescent="0.25">
      <c r="C69" s="237"/>
      <c r="D69" s="1"/>
      <c r="E69" s="237"/>
    </row>
    <row r="70" spans="3:5" x14ac:dyDescent="0.25">
      <c r="C70" s="237"/>
      <c r="D70" s="1"/>
      <c r="E70" s="237"/>
    </row>
    <row r="71" spans="3:5" x14ac:dyDescent="0.25">
      <c r="C71" s="237"/>
      <c r="D71" s="1"/>
      <c r="E71" s="239"/>
    </row>
    <row r="72" spans="3:5" x14ac:dyDescent="0.25">
      <c r="C72" s="237"/>
      <c r="D72" s="1"/>
      <c r="E72" s="239"/>
    </row>
  </sheetData>
  <sheetProtection algorithmName="SHA-512" hashValue="VDX47mQFsyiEC1nMkxexwLZZm2gU4pl2gWgv+a27S/sZtGQ3aGxfE8+qR/hqLPnjc+xWLWcC77VL4NGk0O4CQA==" saltValue="pmOac94yQC6hr6YmsWJyBg==" spinCount="100000" sheet="1" objects="1" scenarios="1" selectLockedCells="1"/>
  <mergeCells count="2">
    <mergeCell ref="B3:D3"/>
    <mergeCell ref="E3:L3"/>
  </mergeCells>
  <phoneticPr fontId="16" type="noConversion"/>
  <conditionalFormatting sqref="C43:C45">
    <cfRule type="containsText" dxfId="74" priority="1" operator="containsText" text="Kõrge">
      <formula>NOT(ISERROR(SEARCH("Kõrge",C43)))</formula>
    </cfRule>
    <cfRule type="containsText" dxfId="73" priority="2" operator="containsText" text="Mõõdukas">
      <formula>NOT(ISERROR(SEARCH("Mõõdukas",C43)))</formula>
    </cfRule>
    <cfRule type="containsText" dxfId="72" priority="3" operator="containsText" text="Madal">
      <formula>NOT(ISERROR(SEARCH("Madal",C43)))</formula>
    </cfRule>
  </conditionalFormatting>
  <dataValidations count="3">
    <dataValidation type="list" allowBlank="1" showInputMessage="1" showErrorMessage="1" sqref="C45" xr:uid="{C9BFFB40-C4F3-4FA5-B65E-CE757A3FFFF4}">
      <formula1>J43:J45</formula1>
    </dataValidation>
    <dataValidation type="list" allowBlank="1" showInputMessage="1" showErrorMessage="1" sqref="C43" xr:uid="{3F0AEB36-5B98-4498-98BA-BF7FA3051E95}">
      <formula1>J43:J45</formula1>
    </dataValidation>
    <dataValidation type="list" allowBlank="1" showInputMessage="1" showErrorMessage="1" sqref="C44" xr:uid="{11D386DF-3885-4E7F-90ED-3A5B036E529F}">
      <formula1>J43:J45</formula1>
    </dataValidation>
  </dataValidations>
  <hyperlinks>
    <hyperlink ref="B1" location="MEETMED!A1" display="&lt;-MEETMETE NIMEKIRI" xr:uid="{C012CD1C-5E9D-4B47-958F-D00ECD551FC2}"/>
    <hyperlink ref="D24" r:id="rId1" xr:uid="{825E12F5-C799-4E1E-89FD-8774A135D9EE}"/>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FB00A-F07D-46A0-BA6B-408C6D666545}">
  <sheetPr>
    <tabColor theme="9" tint="0.79998168889431442"/>
  </sheetPr>
  <dimension ref="A1:AU73"/>
  <sheetViews>
    <sheetView showGridLines="0" workbookViewId="0">
      <selection activeCell="C10" sqref="C10"/>
    </sheetView>
  </sheetViews>
  <sheetFormatPr defaultColWidth="8.85546875" defaultRowHeight="15" outlineLevelRow="1" x14ac:dyDescent="0.25"/>
  <cols>
    <col min="1" max="1" width="6.5703125" customWidth="1"/>
    <col min="2" max="2" width="49.5703125" customWidth="1"/>
    <col min="3" max="3" width="14.42578125" customWidth="1"/>
    <col min="4" max="4" width="11.5703125" customWidth="1"/>
    <col min="5" max="5" width="12.140625" customWidth="1"/>
    <col min="6" max="6" width="11.85546875" customWidth="1"/>
    <col min="7" max="7" width="10.85546875" customWidth="1"/>
    <col min="8" max="8" width="11.42578125" customWidth="1"/>
    <col min="9" max="9" width="10" customWidth="1"/>
    <col min="10" max="10" width="11.28515625"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87" customHeight="1" x14ac:dyDescent="0.25">
      <c r="A3" s="260" t="s">
        <v>418</v>
      </c>
      <c r="B3" s="988" t="s">
        <v>987</v>
      </c>
      <c r="C3" s="988"/>
      <c r="D3" s="988"/>
      <c r="E3" s="988"/>
      <c r="F3" s="988"/>
      <c r="G3" s="990" t="s">
        <v>988</v>
      </c>
      <c r="H3" s="990"/>
      <c r="I3" s="990"/>
      <c r="J3" s="990"/>
      <c r="K3" s="990"/>
      <c r="L3" s="990"/>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861</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1.25" customHeight="1" outlineLevel="1" x14ac:dyDescent="0.25">
      <c r="D6" s="33"/>
      <c r="J6" s="323"/>
      <c r="K6" s="323"/>
      <c r="L6" s="323"/>
      <c r="M6" s="323"/>
    </row>
    <row r="7" spans="1:27" s="1" customFormat="1" ht="36.6" customHeight="1" outlineLevel="1" x14ac:dyDescent="0.25">
      <c r="B7" s="756"/>
      <c r="C7" s="743" t="s">
        <v>989</v>
      </c>
      <c r="D7" s="743" t="s">
        <v>990</v>
      </c>
      <c r="E7" s="743" t="s">
        <v>991</v>
      </c>
      <c r="F7" s="743" t="s">
        <v>992</v>
      </c>
      <c r="G7" s="743" t="s">
        <v>993</v>
      </c>
      <c r="H7" s="743" t="s">
        <v>994</v>
      </c>
      <c r="I7" s="743" t="s">
        <v>995</v>
      </c>
      <c r="J7" s="743" t="s">
        <v>996</v>
      </c>
      <c r="K7" s="743" t="s">
        <v>494</v>
      </c>
      <c r="L7" s="743" t="s">
        <v>997</v>
      </c>
      <c r="M7" s="743" t="s">
        <v>998</v>
      </c>
      <c r="N7" s="219"/>
      <c r="O7" s="219"/>
      <c r="P7" s="219"/>
    </row>
    <row r="8" spans="1:27" s="1" customFormat="1" ht="18" customHeight="1" outlineLevel="1" x14ac:dyDescent="0.25">
      <c r="B8" s="671" t="s">
        <v>999</v>
      </c>
      <c r="C8" s="919">
        <v>2026</v>
      </c>
      <c r="D8" s="919">
        <v>10</v>
      </c>
      <c r="E8" s="757">
        <f>C8+D8-1</f>
        <v>2035</v>
      </c>
      <c r="F8" s="915">
        <v>0.5</v>
      </c>
      <c r="G8" s="757">
        <f>F8*$C$12</f>
        <v>592.25496999999984</v>
      </c>
      <c r="H8" s="757">
        <f>F8*$C$14</f>
        <v>56.55</v>
      </c>
      <c r="I8" s="757">
        <f>F8*$C$16</f>
        <v>66</v>
      </c>
      <c r="J8" s="915">
        <v>0.02</v>
      </c>
      <c r="K8" s="915">
        <v>1</v>
      </c>
      <c r="L8" s="915">
        <v>0</v>
      </c>
      <c r="M8" s="900">
        <v>50</v>
      </c>
      <c r="N8" s="339" t="s">
        <v>1000</v>
      </c>
      <c r="O8" s="219"/>
      <c r="P8" s="219"/>
    </row>
    <row r="9" spans="1:27" s="1" customFormat="1" ht="18" customHeight="1" outlineLevel="1" x14ac:dyDescent="0.25">
      <c r="B9" s="671" t="s">
        <v>1001</v>
      </c>
      <c r="C9" s="919">
        <v>2026</v>
      </c>
      <c r="D9" s="919">
        <v>10</v>
      </c>
      <c r="E9" s="757">
        <f t="shared" ref="E9:E10" si="0">C9+D9-1</f>
        <v>2035</v>
      </c>
      <c r="F9" s="915">
        <v>0.5</v>
      </c>
      <c r="G9" s="757">
        <f t="shared" ref="G9:G10" si="1">F9*$C$12</f>
        <v>592.25496999999984</v>
      </c>
      <c r="H9" s="757">
        <f t="shared" ref="H9:H10" si="2">F9*$C$14</f>
        <v>56.55</v>
      </c>
      <c r="I9" s="757">
        <f t="shared" ref="I9:I10" si="3">F9*$C$16</f>
        <v>66</v>
      </c>
      <c r="J9" s="915">
        <v>0.1</v>
      </c>
      <c r="K9" s="915">
        <v>0.5</v>
      </c>
      <c r="L9" s="915">
        <v>0.5</v>
      </c>
      <c r="M9" s="900">
        <v>500</v>
      </c>
      <c r="N9" s="339" t="s">
        <v>1002</v>
      </c>
      <c r="O9" s="219"/>
      <c r="P9" s="219"/>
      <c r="S9" s="147"/>
    </row>
    <row r="10" spans="1:27" s="1" customFormat="1" ht="18" customHeight="1" outlineLevel="1" x14ac:dyDescent="0.25">
      <c r="B10" s="671" t="s">
        <v>1003</v>
      </c>
      <c r="C10" s="919">
        <v>2027</v>
      </c>
      <c r="D10" s="919">
        <v>1</v>
      </c>
      <c r="E10" s="757">
        <f t="shared" si="0"/>
        <v>2027</v>
      </c>
      <c r="F10" s="915">
        <v>0.2</v>
      </c>
      <c r="G10" s="757">
        <f t="shared" si="1"/>
        <v>236.90198799999996</v>
      </c>
      <c r="H10" s="757">
        <f t="shared" si="2"/>
        <v>22.62</v>
      </c>
      <c r="I10" s="757">
        <f t="shared" si="3"/>
        <v>26.400000000000002</v>
      </c>
      <c r="J10" s="915">
        <v>0.05</v>
      </c>
      <c r="K10" s="915">
        <v>0</v>
      </c>
      <c r="L10" s="915">
        <v>1</v>
      </c>
      <c r="M10" s="900">
        <v>0</v>
      </c>
      <c r="N10" s="941" t="s">
        <v>1673</v>
      </c>
      <c r="O10" s="219"/>
      <c r="P10" s="219"/>
    </row>
    <row r="11" spans="1:27" s="1" customFormat="1" outlineLevel="1" x14ac:dyDescent="0.25">
      <c r="B11" s="155"/>
      <c r="C11" s="231"/>
      <c r="D11" s="155"/>
      <c r="E11" s="155"/>
      <c r="F11" s="155"/>
      <c r="G11" s="155"/>
      <c r="H11" s="155"/>
      <c r="I11" s="155"/>
      <c r="J11" s="155"/>
      <c r="K11" s="155"/>
      <c r="L11" s="155"/>
    </row>
    <row r="12" spans="1:27" s="1" customFormat="1" outlineLevel="1" x14ac:dyDescent="0.25">
      <c r="B12" s="155" t="s">
        <v>1004</v>
      </c>
      <c r="C12" s="231">
        <f>SISENDID!D86/1000</f>
        <v>1184.5099399999997</v>
      </c>
      <c r="D12" s="155" t="s">
        <v>1005</v>
      </c>
      <c r="E12" s="155" t="s">
        <v>1006</v>
      </c>
      <c r="F12" s="155"/>
      <c r="G12" s="155"/>
      <c r="H12" s="155"/>
      <c r="I12" s="155"/>
      <c r="J12" s="155"/>
      <c r="K12" s="155"/>
      <c r="L12" s="155"/>
    </row>
    <row r="13" spans="1:27" s="1" customFormat="1" outlineLevel="1" x14ac:dyDescent="0.25">
      <c r="B13" s="155" t="s">
        <v>1007</v>
      </c>
      <c r="C13" s="231">
        <f>SUM(SISENDID!C31:E31)</f>
        <v>264.29999999999995</v>
      </c>
      <c r="D13" s="155" t="s">
        <v>502</v>
      </c>
      <c r="E13" s="155"/>
      <c r="F13" s="155"/>
      <c r="G13" s="155"/>
      <c r="H13" s="155"/>
      <c r="I13" s="155"/>
      <c r="J13" s="155"/>
      <c r="K13" s="155"/>
      <c r="L13" s="277" t="s">
        <v>876</v>
      </c>
    </row>
    <row r="14" spans="1:27" s="1" customFormat="1" outlineLevel="1" x14ac:dyDescent="0.25">
      <c r="B14" s="226" t="s">
        <v>494</v>
      </c>
      <c r="C14" s="231">
        <f>SISENDID!C31</f>
        <v>113.1</v>
      </c>
      <c r="D14" s="155" t="s">
        <v>502</v>
      </c>
      <c r="E14" s="155"/>
      <c r="F14" s="155"/>
      <c r="G14" s="155"/>
      <c r="H14" s="155"/>
      <c r="I14" s="155"/>
      <c r="J14" s="155"/>
      <c r="K14" s="155"/>
      <c r="L14" s="893" t="s">
        <v>1670</v>
      </c>
      <c r="M14" s="305" t="s">
        <v>877</v>
      </c>
    </row>
    <row r="15" spans="1:27" s="1" customFormat="1" outlineLevel="1" x14ac:dyDescent="0.25">
      <c r="B15" s="226" t="s">
        <v>1008</v>
      </c>
      <c r="C15" s="231">
        <f>SISENDID!D31</f>
        <v>19.2</v>
      </c>
      <c r="D15" s="155" t="s">
        <v>502</v>
      </c>
      <c r="E15" s="155"/>
      <c r="F15" s="155"/>
      <c r="G15" s="155"/>
      <c r="H15" s="155"/>
      <c r="I15" s="155"/>
      <c r="J15" s="155"/>
      <c r="K15" s="155"/>
      <c r="L15" s="892" t="s">
        <v>878</v>
      </c>
      <c r="M15" s="305" t="s">
        <v>1669</v>
      </c>
    </row>
    <row r="16" spans="1:27" s="1" customFormat="1" outlineLevel="1" x14ac:dyDescent="0.25">
      <c r="B16" s="226" t="s">
        <v>1009</v>
      </c>
      <c r="C16" s="231">
        <f>SISENDID!E31</f>
        <v>132</v>
      </c>
      <c r="D16" s="155" t="s">
        <v>502</v>
      </c>
      <c r="E16" s="155"/>
      <c r="F16" s="155"/>
      <c r="G16" s="155"/>
      <c r="H16" s="155"/>
      <c r="I16" s="155"/>
      <c r="J16" s="155"/>
      <c r="K16" s="155"/>
      <c r="L16" s="892" t="s">
        <v>1671</v>
      </c>
      <c r="M16" s="228">
        <v>1234</v>
      </c>
    </row>
    <row r="17" spans="1:34" s="1" customFormat="1" outlineLevel="1" x14ac:dyDescent="0.25">
      <c r="B17" s="155" t="s">
        <v>1010</v>
      </c>
      <c r="C17" s="920">
        <v>80</v>
      </c>
      <c r="D17" s="155" t="s">
        <v>1011</v>
      </c>
      <c r="E17" s="155"/>
      <c r="F17" s="155"/>
      <c r="G17" s="155"/>
      <c r="H17" s="155"/>
      <c r="I17" s="155"/>
      <c r="J17" s="155"/>
      <c r="K17" s="155"/>
      <c r="L17" s="155"/>
    </row>
    <row r="18" spans="1:34" s="1" customFormat="1" outlineLevel="1" x14ac:dyDescent="0.25">
      <c r="B18" s="155" t="s">
        <v>891</v>
      </c>
      <c r="C18" s="920">
        <v>150</v>
      </c>
      <c r="D18" s="155" t="s">
        <v>1011</v>
      </c>
      <c r="E18" s="155"/>
      <c r="F18" s="155"/>
      <c r="G18" s="155"/>
      <c r="H18" s="155"/>
      <c r="I18" s="155"/>
      <c r="J18" s="155"/>
      <c r="K18" s="155"/>
      <c r="L18" s="155"/>
    </row>
    <row r="19" spans="1:34" s="1" customFormat="1" x14ac:dyDescent="0.25">
      <c r="B19" s="232"/>
      <c r="C19" s="232"/>
      <c r="D19" s="228"/>
      <c r="E19" s="228"/>
    </row>
    <row r="20" spans="1:34" x14ac:dyDescent="0.25">
      <c r="A20" s="1"/>
      <c r="B20" s="659" t="s">
        <v>895</v>
      </c>
      <c r="C20" s="659"/>
      <c r="D20" s="659"/>
      <c r="E20" s="659"/>
      <c r="F20" s="659"/>
      <c r="G20" s="659"/>
      <c r="H20" s="659"/>
      <c r="I20" s="659"/>
      <c r="J20" s="659"/>
      <c r="K20" s="659"/>
      <c r="L20" s="659"/>
      <c r="M20" s="1"/>
      <c r="N20" s="1"/>
      <c r="P20" s="1"/>
      <c r="Q20" s="1"/>
      <c r="R20" s="1"/>
      <c r="S20" s="1"/>
      <c r="T20" s="1"/>
      <c r="U20" s="1"/>
      <c r="V20" s="1"/>
      <c r="W20" s="1"/>
      <c r="X20" s="1"/>
      <c r="Y20" s="1"/>
      <c r="Z20" s="1"/>
      <c r="AA20" s="1"/>
      <c r="AB20" s="1"/>
      <c r="AC20" s="1"/>
      <c r="AD20" s="1"/>
      <c r="AE20" s="1"/>
      <c r="AF20" s="1"/>
      <c r="AG20" s="1"/>
      <c r="AH20" s="1"/>
    </row>
    <row r="21" spans="1:34" s="1" customFormat="1" ht="9.75" customHeight="1" outlineLevel="1" x14ac:dyDescent="0.25"/>
    <row r="22" spans="1:34" s="1" customFormat="1" outlineLevel="1" x14ac:dyDescent="0.25">
      <c r="B22" s="13" t="s">
        <v>896</v>
      </c>
      <c r="D22" s="234"/>
      <c r="E22" s="284" t="s">
        <v>897</v>
      </c>
      <c r="L22" s="239"/>
    </row>
    <row r="23" spans="1:34" s="1" customFormat="1" ht="15" customHeight="1" outlineLevel="1" x14ac:dyDescent="0.25">
      <c r="B23" s="758" t="s">
        <v>898</v>
      </c>
      <c r="C23" s="760" t="s">
        <v>899</v>
      </c>
      <c r="E23" s="759"/>
      <c r="F23" s="662" t="s">
        <v>900</v>
      </c>
    </row>
    <row r="24" spans="1:34" s="1" customFormat="1" ht="15" customHeight="1" outlineLevel="1" x14ac:dyDescent="0.25">
      <c r="B24" s="663" t="s">
        <v>398</v>
      </c>
      <c r="C24" s="666">
        <f>SUM(C49:AA49)/50/1000</f>
        <v>3.2013782162162156E-2</v>
      </c>
      <c r="E24" s="672">
        <v>2030</v>
      </c>
      <c r="F24" s="664">
        <f>G58</f>
        <v>0</v>
      </c>
      <c r="O24" s="359"/>
    </row>
    <row r="25" spans="1:34" s="1" customFormat="1" ht="15" customHeight="1" outlineLevel="1" x14ac:dyDescent="0.25">
      <c r="B25" s="155" t="s">
        <v>399</v>
      </c>
      <c r="C25" s="667">
        <f>C24</f>
        <v>3.2013782162162156E-2</v>
      </c>
      <c r="E25" s="671">
        <v>2035</v>
      </c>
      <c r="F25" s="296">
        <f>L58</f>
        <v>0</v>
      </c>
    </row>
    <row r="26" spans="1:34" s="1" customFormat="1" ht="15" customHeight="1" outlineLevel="1" x14ac:dyDescent="0.25">
      <c r="B26" s="663" t="s">
        <v>400</v>
      </c>
      <c r="C26" s="666">
        <f>SUM(C51:AA51)/50/1000</f>
        <v>-0.27389471783783786</v>
      </c>
      <c r="D26" s="261"/>
      <c r="E26" s="672">
        <v>2040</v>
      </c>
      <c r="F26" s="664">
        <f>Q58</f>
        <v>0</v>
      </c>
    </row>
    <row r="27" spans="1:34" s="1" customFormat="1" outlineLevel="1" x14ac:dyDescent="0.25">
      <c r="B27" s="155" t="s">
        <v>401</v>
      </c>
      <c r="C27" s="667">
        <f>C26</f>
        <v>-0.27389471783783786</v>
      </c>
      <c r="D27" s="261"/>
      <c r="E27" s="671">
        <v>2045</v>
      </c>
      <c r="F27" s="296">
        <f>V58</f>
        <v>0</v>
      </c>
    </row>
    <row r="28" spans="1:34" s="1" customFormat="1" ht="15" customHeight="1" outlineLevel="1" x14ac:dyDescent="0.25">
      <c r="B28" s="663" t="s">
        <v>901</v>
      </c>
      <c r="C28" s="670">
        <f>MAX(C58:AQ58)</f>
        <v>39.402000000000008</v>
      </c>
      <c r="D28" s="261"/>
      <c r="E28" s="672">
        <v>2050</v>
      </c>
      <c r="F28" s="664">
        <f>AA58</f>
        <v>0</v>
      </c>
    </row>
    <row r="29" spans="1:34" s="1" customFormat="1" ht="15" customHeight="1" outlineLevel="1" x14ac:dyDescent="0.25">
      <c r="B29" s="155" t="s">
        <v>902</v>
      </c>
      <c r="C29" s="428">
        <f>SUM(C53:AA54)/1000</f>
        <v>139.23750000000001</v>
      </c>
      <c r="D29" s="261"/>
      <c r="E29" s="228"/>
    </row>
    <row r="30" spans="1:34" s="1" customFormat="1" outlineLevel="1" x14ac:dyDescent="0.25">
      <c r="B30" s="663" t="s">
        <v>403</v>
      </c>
      <c r="C30" s="670">
        <f>SUM(C51:AU51)*1000/SUM(C58:AU58)</f>
        <v>-557708.33784904121</v>
      </c>
      <c r="D30" s="261"/>
      <c r="E30" s="228"/>
    </row>
    <row r="31" spans="1:34" s="1" customFormat="1" outlineLevel="1" x14ac:dyDescent="0.25">
      <c r="B31" s="13"/>
      <c r="C31" s="236"/>
    </row>
    <row r="32" spans="1:34" s="1" customFormat="1" outlineLevel="1" x14ac:dyDescent="0.25">
      <c r="B32" s="284" t="s">
        <v>903</v>
      </c>
      <c r="D32" s="43"/>
      <c r="E32" s="7"/>
      <c r="I32" s="277" t="s">
        <v>876</v>
      </c>
    </row>
    <row r="33" spans="1:47" s="1" customFormat="1" outlineLevel="1" x14ac:dyDescent="0.25">
      <c r="A33" s="33"/>
      <c r="B33" s="155" t="s">
        <v>904</v>
      </c>
      <c r="C33" s="307" t="s">
        <v>910</v>
      </c>
      <c r="D33" s="339"/>
      <c r="E33" s="12"/>
      <c r="F33" s="12"/>
      <c r="G33" s="12"/>
      <c r="H33" s="12"/>
      <c r="I33" s="311" t="s">
        <v>474</v>
      </c>
      <c r="J33" s="295" t="s">
        <v>906</v>
      </c>
    </row>
    <row r="34" spans="1:47" s="1" customFormat="1" ht="16.5" customHeight="1" outlineLevel="1" x14ac:dyDescent="0.25">
      <c r="A34" s="33">
        <v>1</v>
      </c>
      <c r="B34" s="155" t="s">
        <v>907</v>
      </c>
      <c r="C34" s="307" t="s">
        <v>910</v>
      </c>
      <c r="D34" s="397">
        <f>IF(C34="Kõrge",3,IF(C34="Mõõdukas",2,1))</f>
        <v>1</v>
      </c>
      <c r="E34" s="339" t="s">
        <v>1012</v>
      </c>
      <c r="F34" s="12"/>
      <c r="G34" s="12"/>
      <c r="H34" s="12"/>
      <c r="I34" s="312" t="s">
        <v>905</v>
      </c>
      <c r="J34" s="295" t="s">
        <v>908</v>
      </c>
      <c r="L34" s="273"/>
    </row>
    <row r="35" spans="1:47" s="1" customFormat="1" ht="16.5" customHeight="1" outlineLevel="1" x14ac:dyDescent="0.25">
      <c r="A35" s="33"/>
      <c r="B35" s="155" t="s">
        <v>909</v>
      </c>
      <c r="C35" s="307" t="s">
        <v>910</v>
      </c>
      <c r="D35" s="397">
        <f>IF(C35="Kõrge",3,IF(C35="Mõõdukas",2,1))</f>
        <v>1</v>
      </c>
      <c r="E35" s="339" t="s">
        <v>1013</v>
      </c>
      <c r="F35" s="12"/>
      <c r="I35" s="313" t="s">
        <v>910</v>
      </c>
      <c r="J35" s="295" t="s">
        <v>911</v>
      </c>
      <c r="L35" s="273"/>
    </row>
    <row r="36" spans="1:47" s="1" customFormat="1" x14ac:dyDescent="0.25">
      <c r="A36" s="33"/>
      <c r="B36" s="143"/>
      <c r="C36" s="399" t="s">
        <v>912</v>
      </c>
      <c r="D36" s="398">
        <f>D35+D34</f>
        <v>2</v>
      </c>
      <c r="H36" s="233"/>
      <c r="L36" s="295"/>
    </row>
    <row r="37" spans="1:47" x14ac:dyDescent="0.25">
      <c r="A37" s="1"/>
      <c r="B37" s="761" t="s">
        <v>913</v>
      </c>
      <c r="C37" s="761"/>
      <c r="D37" s="761"/>
      <c r="E37" s="761"/>
      <c r="F37" s="761"/>
      <c r="G37" s="761"/>
      <c r="H37" s="761"/>
      <c r="I37" s="761"/>
      <c r="J37" s="761"/>
      <c r="K37" s="761"/>
      <c r="L37" s="761"/>
      <c r="M37" s="761"/>
      <c r="N37" s="761"/>
      <c r="O37" s="761"/>
      <c r="P37" s="761"/>
      <c r="Q37" s="761"/>
      <c r="R37" s="761"/>
      <c r="S37" s="761"/>
      <c r="T37" s="761"/>
      <c r="U37" s="761"/>
      <c r="V37" s="761"/>
      <c r="W37" s="761"/>
      <c r="X37" s="761"/>
      <c r="Y37" s="761"/>
      <c r="Z37" s="761"/>
      <c r="AA37" s="761"/>
      <c r="AB37" s="761"/>
      <c r="AC37" s="761"/>
      <c r="AD37" s="761"/>
      <c r="AE37" s="761"/>
      <c r="AF37" s="761"/>
      <c r="AG37" s="761"/>
      <c r="AH37" s="761"/>
      <c r="AI37" s="761"/>
      <c r="AJ37" s="761"/>
      <c r="AK37" s="761"/>
      <c r="AL37" s="761"/>
      <c r="AM37" s="761"/>
      <c r="AN37" s="761"/>
      <c r="AO37" s="761"/>
      <c r="AP37" s="761"/>
      <c r="AQ37" s="761"/>
      <c r="AR37" s="761"/>
      <c r="AS37" s="761"/>
      <c r="AT37" s="761"/>
      <c r="AU37" s="761"/>
    </row>
    <row r="38" spans="1:47" s="15" customFormat="1" ht="7.5" customHeight="1" outlineLevel="1" x14ac:dyDescent="0.25"/>
    <row r="39" spans="1:47" s="15" customFormat="1" ht="13.5" outlineLevel="1" x14ac:dyDescent="0.25">
      <c r="B39" s="696"/>
      <c r="C39" s="698">
        <f>C8</f>
        <v>2026</v>
      </c>
      <c r="D39" s="698">
        <f>C39+1</f>
        <v>2027</v>
      </c>
      <c r="E39" s="698">
        <f t="shared" ref="E39:AU39" si="4">D39+1</f>
        <v>2028</v>
      </c>
      <c r="F39" s="698">
        <f t="shared" si="4"/>
        <v>2029</v>
      </c>
      <c r="G39" s="698">
        <f t="shared" si="4"/>
        <v>2030</v>
      </c>
      <c r="H39" s="698">
        <f t="shared" si="4"/>
        <v>2031</v>
      </c>
      <c r="I39" s="698">
        <f t="shared" si="4"/>
        <v>2032</v>
      </c>
      <c r="J39" s="698">
        <f t="shared" si="4"/>
        <v>2033</v>
      </c>
      <c r="K39" s="698">
        <f t="shared" si="4"/>
        <v>2034</v>
      </c>
      <c r="L39" s="698">
        <f t="shared" si="4"/>
        <v>2035</v>
      </c>
      <c r="M39" s="698">
        <f t="shared" si="4"/>
        <v>2036</v>
      </c>
      <c r="N39" s="698">
        <f t="shared" si="4"/>
        <v>2037</v>
      </c>
      <c r="O39" s="698">
        <f t="shared" si="4"/>
        <v>2038</v>
      </c>
      <c r="P39" s="698">
        <f t="shared" si="4"/>
        <v>2039</v>
      </c>
      <c r="Q39" s="698">
        <f t="shared" si="4"/>
        <v>2040</v>
      </c>
      <c r="R39" s="698">
        <f t="shared" si="4"/>
        <v>2041</v>
      </c>
      <c r="S39" s="698">
        <f t="shared" si="4"/>
        <v>2042</v>
      </c>
      <c r="T39" s="698">
        <f t="shared" si="4"/>
        <v>2043</v>
      </c>
      <c r="U39" s="698">
        <f t="shared" si="4"/>
        <v>2044</v>
      </c>
      <c r="V39" s="698">
        <f t="shared" si="4"/>
        <v>2045</v>
      </c>
      <c r="W39" s="698">
        <f t="shared" si="4"/>
        <v>2046</v>
      </c>
      <c r="X39" s="698">
        <f t="shared" si="4"/>
        <v>2047</v>
      </c>
      <c r="Y39" s="698">
        <f t="shared" si="4"/>
        <v>2048</v>
      </c>
      <c r="Z39" s="698">
        <f t="shared" si="4"/>
        <v>2049</v>
      </c>
      <c r="AA39" s="698">
        <f t="shared" si="4"/>
        <v>2050</v>
      </c>
      <c r="AB39" s="698">
        <f t="shared" si="4"/>
        <v>2051</v>
      </c>
      <c r="AC39" s="698">
        <f t="shared" si="4"/>
        <v>2052</v>
      </c>
      <c r="AD39" s="698">
        <f t="shared" si="4"/>
        <v>2053</v>
      </c>
      <c r="AE39" s="698">
        <f t="shared" si="4"/>
        <v>2054</v>
      </c>
      <c r="AF39" s="698">
        <f t="shared" si="4"/>
        <v>2055</v>
      </c>
      <c r="AG39" s="698">
        <f t="shared" si="4"/>
        <v>2056</v>
      </c>
      <c r="AH39" s="698">
        <f t="shared" si="4"/>
        <v>2057</v>
      </c>
      <c r="AI39" s="698">
        <f t="shared" si="4"/>
        <v>2058</v>
      </c>
      <c r="AJ39" s="698">
        <f t="shared" si="4"/>
        <v>2059</v>
      </c>
      <c r="AK39" s="698">
        <f t="shared" si="4"/>
        <v>2060</v>
      </c>
      <c r="AL39" s="698">
        <f t="shared" si="4"/>
        <v>2061</v>
      </c>
      <c r="AM39" s="698">
        <f t="shared" si="4"/>
        <v>2062</v>
      </c>
      <c r="AN39" s="698">
        <f t="shared" si="4"/>
        <v>2063</v>
      </c>
      <c r="AO39" s="698">
        <f t="shared" si="4"/>
        <v>2064</v>
      </c>
      <c r="AP39" s="698">
        <f t="shared" si="4"/>
        <v>2065</v>
      </c>
      <c r="AQ39" s="698">
        <f t="shared" si="4"/>
        <v>2066</v>
      </c>
      <c r="AR39" s="698">
        <f t="shared" si="4"/>
        <v>2067</v>
      </c>
      <c r="AS39" s="698">
        <f t="shared" si="4"/>
        <v>2068</v>
      </c>
      <c r="AT39" s="698">
        <f t="shared" si="4"/>
        <v>2069</v>
      </c>
      <c r="AU39" s="699">
        <f t="shared" si="4"/>
        <v>2070</v>
      </c>
    </row>
    <row r="40" spans="1:47" s="15" customFormat="1" ht="13.5" outlineLevel="1" x14ac:dyDescent="0.25">
      <c r="B40" s="696" t="s">
        <v>1014</v>
      </c>
      <c r="C40" s="697"/>
      <c r="D40" s="697"/>
      <c r="E40" s="697"/>
      <c r="F40" s="697"/>
      <c r="G40" s="697"/>
      <c r="H40" s="697"/>
      <c r="I40" s="697"/>
      <c r="J40" s="697"/>
      <c r="K40" s="697"/>
      <c r="L40" s="697"/>
      <c r="M40" s="697"/>
      <c r="N40" s="697"/>
      <c r="O40" s="697"/>
      <c r="P40" s="697"/>
      <c r="Q40" s="697"/>
      <c r="R40" s="697"/>
      <c r="S40" s="697"/>
      <c r="T40" s="697"/>
      <c r="U40" s="697"/>
      <c r="V40" s="697"/>
      <c r="W40" s="697"/>
      <c r="X40" s="697"/>
      <c r="Y40" s="697"/>
      <c r="Z40" s="697"/>
      <c r="AA40" s="697"/>
      <c r="AB40" s="697"/>
      <c r="AC40" s="697"/>
      <c r="AD40" s="697"/>
      <c r="AE40" s="697"/>
      <c r="AF40" s="697"/>
      <c r="AG40" s="697"/>
      <c r="AH40" s="697"/>
      <c r="AI40" s="697"/>
      <c r="AJ40" s="697"/>
      <c r="AK40" s="697"/>
      <c r="AL40" s="697"/>
      <c r="AM40" s="697"/>
      <c r="AN40" s="697"/>
      <c r="AO40" s="697"/>
      <c r="AP40" s="697"/>
      <c r="AQ40" s="697"/>
      <c r="AR40" s="697"/>
      <c r="AS40" s="697"/>
      <c r="AT40" s="697"/>
      <c r="AU40" s="746"/>
    </row>
    <row r="41" spans="1:47" s="15" customFormat="1" ht="13.5" outlineLevel="1" x14ac:dyDescent="0.25">
      <c r="B41" s="684" t="s">
        <v>999</v>
      </c>
      <c r="C41" s="724">
        <f>IF(OR(C39&lt;$C$8,C39&gt;$E$8),0,1)</f>
        <v>1</v>
      </c>
      <c r="D41" s="724">
        <f t="shared" ref="D41:AU41" si="5">IF(OR(D39&lt;$C$8,D39&gt;$E$8),0,1)</f>
        <v>1</v>
      </c>
      <c r="E41" s="724">
        <f t="shared" si="5"/>
        <v>1</v>
      </c>
      <c r="F41" s="724">
        <f t="shared" si="5"/>
        <v>1</v>
      </c>
      <c r="G41" s="724">
        <f t="shared" si="5"/>
        <v>1</v>
      </c>
      <c r="H41" s="724">
        <f t="shared" si="5"/>
        <v>1</v>
      </c>
      <c r="I41" s="724">
        <f t="shared" si="5"/>
        <v>1</v>
      </c>
      <c r="J41" s="724">
        <f t="shared" si="5"/>
        <v>1</v>
      </c>
      <c r="K41" s="724">
        <f t="shared" si="5"/>
        <v>1</v>
      </c>
      <c r="L41" s="724">
        <f t="shared" si="5"/>
        <v>1</v>
      </c>
      <c r="M41" s="724">
        <f t="shared" si="5"/>
        <v>0</v>
      </c>
      <c r="N41" s="724">
        <f t="shared" si="5"/>
        <v>0</v>
      </c>
      <c r="O41" s="724">
        <f t="shared" si="5"/>
        <v>0</v>
      </c>
      <c r="P41" s="724">
        <f t="shared" si="5"/>
        <v>0</v>
      </c>
      <c r="Q41" s="724">
        <f t="shared" si="5"/>
        <v>0</v>
      </c>
      <c r="R41" s="724">
        <f t="shared" si="5"/>
        <v>0</v>
      </c>
      <c r="S41" s="724">
        <f t="shared" si="5"/>
        <v>0</v>
      </c>
      <c r="T41" s="724">
        <f t="shared" si="5"/>
        <v>0</v>
      </c>
      <c r="U41" s="724">
        <f t="shared" si="5"/>
        <v>0</v>
      </c>
      <c r="V41" s="724">
        <f t="shared" si="5"/>
        <v>0</v>
      </c>
      <c r="W41" s="724">
        <f t="shared" si="5"/>
        <v>0</v>
      </c>
      <c r="X41" s="724">
        <f t="shared" si="5"/>
        <v>0</v>
      </c>
      <c r="Y41" s="724">
        <f t="shared" si="5"/>
        <v>0</v>
      </c>
      <c r="Z41" s="724">
        <f t="shared" si="5"/>
        <v>0</v>
      </c>
      <c r="AA41" s="724">
        <f t="shared" si="5"/>
        <v>0</v>
      </c>
      <c r="AB41" s="724">
        <f t="shared" si="5"/>
        <v>0</v>
      </c>
      <c r="AC41" s="724">
        <f t="shared" si="5"/>
        <v>0</v>
      </c>
      <c r="AD41" s="724">
        <f t="shared" si="5"/>
        <v>0</v>
      </c>
      <c r="AE41" s="724">
        <f t="shared" si="5"/>
        <v>0</v>
      </c>
      <c r="AF41" s="724">
        <f t="shared" si="5"/>
        <v>0</v>
      </c>
      <c r="AG41" s="724">
        <f t="shared" si="5"/>
        <v>0</v>
      </c>
      <c r="AH41" s="724">
        <f t="shared" si="5"/>
        <v>0</v>
      </c>
      <c r="AI41" s="724">
        <f t="shared" si="5"/>
        <v>0</v>
      </c>
      <c r="AJ41" s="724">
        <f t="shared" si="5"/>
        <v>0</v>
      </c>
      <c r="AK41" s="724">
        <f t="shared" si="5"/>
        <v>0</v>
      </c>
      <c r="AL41" s="724">
        <f t="shared" si="5"/>
        <v>0</v>
      </c>
      <c r="AM41" s="724">
        <f t="shared" si="5"/>
        <v>0</v>
      </c>
      <c r="AN41" s="724">
        <f t="shared" si="5"/>
        <v>0</v>
      </c>
      <c r="AO41" s="724">
        <f t="shared" si="5"/>
        <v>0</v>
      </c>
      <c r="AP41" s="724">
        <f t="shared" si="5"/>
        <v>0</v>
      </c>
      <c r="AQ41" s="724">
        <f t="shared" si="5"/>
        <v>0</v>
      </c>
      <c r="AR41" s="724">
        <f t="shared" si="5"/>
        <v>0</v>
      </c>
      <c r="AS41" s="724">
        <f t="shared" si="5"/>
        <v>0</v>
      </c>
      <c r="AT41" s="724">
        <f t="shared" si="5"/>
        <v>0</v>
      </c>
      <c r="AU41" s="725">
        <f t="shared" si="5"/>
        <v>0</v>
      </c>
    </row>
    <row r="42" spans="1:47" s="15" customFormat="1" ht="13.5" outlineLevel="1" x14ac:dyDescent="0.25">
      <c r="B42" s="684" t="s">
        <v>1001</v>
      </c>
      <c r="C42" s="724">
        <f>IF(OR(C39&lt;$C$9,C39&gt;$E$9),0,1)</f>
        <v>1</v>
      </c>
      <c r="D42" s="724">
        <f t="shared" ref="D42:AU42" si="6">IF(OR(D39&lt;$C$9,D39&gt;$E$9),0,1)</f>
        <v>1</v>
      </c>
      <c r="E42" s="724">
        <f t="shared" si="6"/>
        <v>1</v>
      </c>
      <c r="F42" s="724">
        <f t="shared" si="6"/>
        <v>1</v>
      </c>
      <c r="G42" s="724">
        <f t="shared" si="6"/>
        <v>1</v>
      </c>
      <c r="H42" s="724">
        <f t="shared" si="6"/>
        <v>1</v>
      </c>
      <c r="I42" s="724">
        <f t="shared" si="6"/>
        <v>1</v>
      </c>
      <c r="J42" s="724">
        <f t="shared" si="6"/>
        <v>1</v>
      </c>
      <c r="K42" s="724">
        <f t="shared" si="6"/>
        <v>1</v>
      </c>
      <c r="L42" s="724">
        <f t="shared" si="6"/>
        <v>1</v>
      </c>
      <c r="M42" s="724">
        <f t="shared" si="6"/>
        <v>0</v>
      </c>
      <c r="N42" s="724">
        <f t="shared" si="6"/>
        <v>0</v>
      </c>
      <c r="O42" s="724">
        <f t="shared" si="6"/>
        <v>0</v>
      </c>
      <c r="P42" s="724">
        <f t="shared" si="6"/>
        <v>0</v>
      </c>
      <c r="Q42" s="724">
        <f t="shared" si="6"/>
        <v>0</v>
      </c>
      <c r="R42" s="724">
        <f t="shared" si="6"/>
        <v>0</v>
      </c>
      <c r="S42" s="724">
        <f t="shared" si="6"/>
        <v>0</v>
      </c>
      <c r="T42" s="724">
        <f t="shared" si="6"/>
        <v>0</v>
      </c>
      <c r="U42" s="724">
        <f t="shared" si="6"/>
        <v>0</v>
      </c>
      <c r="V42" s="724">
        <f t="shared" si="6"/>
        <v>0</v>
      </c>
      <c r="W42" s="724">
        <f t="shared" si="6"/>
        <v>0</v>
      </c>
      <c r="X42" s="724">
        <f t="shared" si="6"/>
        <v>0</v>
      </c>
      <c r="Y42" s="724">
        <f t="shared" si="6"/>
        <v>0</v>
      </c>
      <c r="Z42" s="724">
        <f t="shared" si="6"/>
        <v>0</v>
      </c>
      <c r="AA42" s="724">
        <f t="shared" si="6"/>
        <v>0</v>
      </c>
      <c r="AB42" s="724">
        <f t="shared" si="6"/>
        <v>0</v>
      </c>
      <c r="AC42" s="724">
        <f t="shared" si="6"/>
        <v>0</v>
      </c>
      <c r="AD42" s="724">
        <f t="shared" si="6"/>
        <v>0</v>
      </c>
      <c r="AE42" s="724">
        <f t="shared" si="6"/>
        <v>0</v>
      </c>
      <c r="AF42" s="724">
        <f t="shared" si="6"/>
        <v>0</v>
      </c>
      <c r="AG42" s="724">
        <f t="shared" si="6"/>
        <v>0</v>
      </c>
      <c r="AH42" s="724">
        <f t="shared" si="6"/>
        <v>0</v>
      </c>
      <c r="AI42" s="724">
        <f t="shared" si="6"/>
        <v>0</v>
      </c>
      <c r="AJ42" s="724">
        <f t="shared" si="6"/>
        <v>0</v>
      </c>
      <c r="AK42" s="724">
        <f t="shared" si="6"/>
        <v>0</v>
      </c>
      <c r="AL42" s="724">
        <f t="shared" si="6"/>
        <v>0</v>
      </c>
      <c r="AM42" s="724">
        <f t="shared" si="6"/>
        <v>0</v>
      </c>
      <c r="AN42" s="724">
        <f t="shared" si="6"/>
        <v>0</v>
      </c>
      <c r="AO42" s="724">
        <f t="shared" si="6"/>
        <v>0</v>
      </c>
      <c r="AP42" s="724">
        <f t="shared" si="6"/>
        <v>0</v>
      </c>
      <c r="AQ42" s="724">
        <f t="shared" si="6"/>
        <v>0</v>
      </c>
      <c r="AR42" s="724">
        <f t="shared" si="6"/>
        <v>0</v>
      </c>
      <c r="AS42" s="724">
        <f t="shared" si="6"/>
        <v>0</v>
      </c>
      <c r="AT42" s="724">
        <f t="shared" si="6"/>
        <v>0</v>
      </c>
      <c r="AU42" s="725">
        <f t="shared" si="6"/>
        <v>0</v>
      </c>
    </row>
    <row r="43" spans="1:47" s="15" customFormat="1" ht="13.5" outlineLevel="1" x14ac:dyDescent="0.25">
      <c r="B43" s="684" t="s">
        <v>1003</v>
      </c>
      <c r="C43" s="724">
        <f>IF(OR(C39&lt;$C$10,C39&gt;$E$10),0,1)</f>
        <v>0</v>
      </c>
      <c r="D43" s="724">
        <f t="shared" ref="D43:AU43" si="7">IF(OR(D39&lt;$C$10,D39&gt;$E$10),0,1)</f>
        <v>1</v>
      </c>
      <c r="E43" s="724">
        <f t="shared" si="7"/>
        <v>0</v>
      </c>
      <c r="F43" s="724">
        <f t="shared" si="7"/>
        <v>0</v>
      </c>
      <c r="G43" s="724">
        <f t="shared" si="7"/>
        <v>0</v>
      </c>
      <c r="H43" s="724">
        <f t="shared" si="7"/>
        <v>0</v>
      </c>
      <c r="I43" s="724">
        <f t="shared" si="7"/>
        <v>0</v>
      </c>
      <c r="J43" s="724">
        <f t="shared" si="7"/>
        <v>0</v>
      </c>
      <c r="K43" s="724">
        <f t="shared" si="7"/>
        <v>0</v>
      </c>
      <c r="L43" s="724">
        <f t="shared" si="7"/>
        <v>0</v>
      </c>
      <c r="M43" s="724">
        <f t="shared" si="7"/>
        <v>0</v>
      </c>
      <c r="N43" s="724">
        <f t="shared" si="7"/>
        <v>0</v>
      </c>
      <c r="O43" s="724">
        <f t="shared" si="7"/>
        <v>0</v>
      </c>
      <c r="P43" s="724">
        <f t="shared" si="7"/>
        <v>0</v>
      </c>
      <c r="Q43" s="724">
        <f t="shared" si="7"/>
        <v>0</v>
      </c>
      <c r="R43" s="724">
        <f t="shared" si="7"/>
        <v>0</v>
      </c>
      <c r="S43" s="724">
        <f t="shared" si="7"/>
        <v>0</v>
      </c>
      <c r="T43" s="724">
        <f t="shared" si="7"/>
        <v>0</v>
      </c>
      <c r="U43" s="724">
        <f t="shared" si="7"/>
        <v>0</v>
      </c>
      <c r="V43" s="724">
        <f t="shared" si="7"/>
        <v>0</v>
      </c>
      <c r="W43" s="724">
        <f t="shared" si="7"/>
        <v>0</v>
      </c>
      <c r="X43" s="724">
        <f t="shared" si="7"/>
        <v>0</v>
      </c>
      <c r="Y43" s="724">
        <f t="shared" si="7"/>
        <v>0</v>
      </c>
      <c r="Z43" s="724">
        <f t="shared" si="7"/>
        <v>0</v>
      </c>
      <c r="AA43" s="724">
        <f t="shared" si="7"/>
        <v>0</v>
      </c>
      <c r="AB43" s="724">
        <f t="shared" si="7"/>
        <v>0</v>
      </c>
      <c r="AC43" s="724">
        <f t="shared" si="7"/>
        <v>0</v>
      </c>
      <c r="AD43" s="724">
        <f t="shared" si="7"/>
        <v>0</v>
      </c>
      <c r="AE43" s="724">
        <f t="shared" si="7"/>
        <v>0</v>
      </c>
      <c r="AF43" s="724">
        <f t="shared" si="7"/>
        <v>0</v>
      </c>
      <c r="AG43" s="724">
        <f t="shared" si="7"/>
        <v>0</v>
      </c>
      <c r="AH43" s="724">
        <f t="shared" si="7"/>
        <v>0</v>
      </c>
      <c r="AI43" s="724">
        <f t="shared" si="7"/>
        <v>0</v>
      </c>
      <c r="AJ43" s="724">
        <f t="shared" si="7"/>
        <v>0</v>
      </c>
      <c r="AK43" s="724">
        <f t="shared" si="7"/>
        <v>0</v>
      </c>
      <c r="AL43" s="724">
        <f t="shared" si="7"/>
        <v>0</v>
      </c>
      <c r="AM43" s="724">
        <f t="shared" si="7"/>
        <v>0</v>
      </c>
      <c r="AN43" s="724">
        <f t="shared" si="7"/>
        <v>0</v>
      </c>
      <c r="AO43" s="724">
        <f t="shared" si="7"/>
        <v>0</v>
      </c>
      <c r="AP43" s="724">
        <f t="shared" si="7"/>
        <v>0</v>
      </c>
      <c r="AQ43" s="724">
        <f t="shared" si="7"/>
        <v>0</v>
      </c>
      <c r="AR43" s="724">
        <f t="shared" si="7"/>
        <v>0</v>
      </c>
      <c r="AS43" s="724">
        <f t="shared" si="7"/>
        <v>0</v>
      </c>
      <c r="AT43" s="724">
        <f t="shared" si="7"/>
        <v>0</v>
      </c>
      <c r="AU43" s="725">
        <f t="shared" si="7"/>
        <v>0</v>
      </c>
    </row>
    <row r="44" spans="1:47" s="15" customFormat="1" ht="13.5" outlineLevel="1" x14ac:dyDescent="0.25">
      <c r="B44" s="715" t="s">
        <v>1015</v>
      </c>
      <c r="C44" s="719"/>
      <c r="D44" s="719"/>
      <c r="E44" s="719"/>
      <c r="F44" s="719"/>
      <c r="G44" s="719"/>
      <c r="H44" s="719"/>
      <c r="I44" s="719"/>
      <c r="J44" s="719"/>
      <c r="K44" s="719"/>
      <c r="L44" s="719"/>
      <c r="M44" s="719"/>
      <c r="N44" s="719"/>
      <c r="O44" s="719"/>
      <c r="P44" s="719"/>
      <c r="Q44" s="719"/>
      <c r="R44" s="719"/>
      <c r="S44" s="719"/>
      <c r="T44" s="719"/>
      <c r="U44" s="719"/>
      <c r="V44" s="719"/>
      <c r="W44" s="719"/>
      <c r="X44" s="719"/>
      <c r="Y44" s="719"/>
      <c r="Z44" s="719"/>
      <c r="AA44" s="719"/>
      <c r="AB44" s="719"/>
      <c r="AC44" s="719"/>
      <c r="AD44" s="719"/>
      <c r="AE44" s="719"/>
      <c r="AF44" s="719"/>
      <c r="AG44" s="719"/>
      <c r="AH44" s="719"/>
      <c r="AI44" s="719"/>
      <c r="AJ44" s="719"/>
      <c r="AK44" s="719"/>
      <c r="AL44" s="719"/>
      <c r="AM44" s="719"/>
      <c r="AN44" s="719"/>
      <c r="AO44" s="719"/>
      <c r="AP44" s="719"/>
      <c r="AQ44" s="719"/>
      <c r="AR44" s="719"/>
      <c r="AS44" s="719"/>
      <c r="AT44" s="719"/>
      <c r="AU44" s="434"/>
    </row>
    <row r="45" spans="1:47" s="15" customFormat="1" ht="13.5" outlineLevel="1" x14ac:dyDescent="0.25">
      <c r="B45" s="671" t="s">
        <v>999</v>
      </c>
      <c r="C45" s="719">
        <f t="shared" ref="C45:AU45" si="8">IF(C39&gt;$E8,1,0)</f>
        <v>0</v>
      </c>
      <c r="D45" s="719">
        <f t="shared" si="8"/>
        <v>0</v>
      </c>
      <c r="E45" s="719">
        <f t="shared" si="8"/>
        <v>0</v>
      </c>
      <c r="F45" s="719">
        <f t="shared" si="8"/>
        <v>0</v>
      </c>
      <c r="G45" s="719">
        <f t="shared" si="8"/>
        <v>0</v>
      </c>
      <c r="H45" s="719">
        <f t="shared" si="8"/>
        <v>0</v>
      </c>
      <c r="I45" s="719">
        <f t="shared" si="8"/>
        <v>0</v>
      </c>
      <c r="J45" s="719">
        <f t="shared" si="8"/>
        <v>0</v>
      </c>
      <c r="K45" s="719">
        <f t="shared" si="8"/>
        <v>0</v>
      </c>
      <c r="L45" s="719">
        <f t="shared" si="8"/>
        <v>0</v>
      </c>
      <c r="M45" s="719">
        <f t="shared" si="8"/>
        <v>1</v>
      </c>
      <c r="N45" s="719">
        <f t="shared" si="8"/>
        <v>1</v>
      </c>
      <c r="O45" s="719">
        <f t="shared" si="8"/>
        <v>1</v>
      </c>
      <c r="P45" s="719">
        <f t="shared" si="8"/>
        <v>1</v>
      </c>
      <c r="Q45" s="719">
        <f t="shared" si="8"/>
        <v>1</v>
      </c>
      <c r="R45" s="719">
        <f t="shared" si="8"/>
        <v>1</v>
      </c>
      <c r="S45" s="719">
        <f t="shared" si="8"/>
        <v>1</v>
      </c>
      <c r="T45" s="719">
        <f t="shared" si="8"/>
        <v>1</v>
      </c>
      <c r="U45" s="719">
        <f t="shared" si="8"/>
        <v>1</v>
      </c>
      <c r="V45" s="719">
        <f t="shared" si="8"/>
        <v>1</v>
      </c>
      <c r="W45" s="719">
        <f t="shared" si="8"/>
        <v>1</v>
      </c>
      <c r="X45" s="719">
        <f t="shared" si="8"/>
        <v>1</v>
      </c>
      <c r="Y45" s="719">
        <f t="shared" si="8"/>
        <v>1</v>
      </c>
      <c r="Z45" s="719">
        <f t="shared" si="8"/>
        <v>1</v>
      </c>
      <c r="AA45" s="719">
        <f t="shared" si="8"/>
        <v>1</v>
      </c>
      <c r="AB45" s="719">
        <f t="shared" si="8"/>
        <v>1</v>
      </c>
      <c r="AC45" s="719">
        <f t="shared" si="8"/>
        <v>1</v>
      </c>
      <c r="AD45" s="719">
        <f t="shared" si="8"/>
        <v>1</v>
      </c>
      <c r="AE45" s="719">
        <f t="shared" si="8"/>
        <v>1</v>
      </c>
      <c r="AF45" s="719">
        <f t="shared" si="8"/>
        <v>1</v>
      </c>
      <c r="AG45" s="719">
        <f t="shared" si="8"/>
        <v>1</v>
      </c>
      <c r="AH45" s="719">
        <f t="shared" si="8"/>
        <v>1</v>
      </c>
      <c r="AI45" s="719">
        <f t="shared" si="8"/>
        <v>1</v>
      </c>
      <c r="AJ45" s="719">
        <f t="shared" si="8"/>
        <v>1</v>
      </c>
      <c r="AK45" s="719">
        <f t="shared" si="8"/>
        <v>1</v>
      </c>
      <c r="AL45" s="719">
        <f t="shared" si="8"/>
        <v>1</v>
      </c>
      <c r="AM45" s="719">
        <f t="shared" si="8"/>
        <v>1</v>
      </c>
      <c r="AN45" s="719">
        <f t="shared" si="8"/>
        <v>1</v>
      </c>
      <c r="AO45" s="719">
        <f t="shared" si="8"/>
        <v>1</v>
      </c>
      <c r="AP45" s="719">
        <f t="shared" si="8"/>
        <v>1</v>
      </c>
      <c r="AQ45" s="719">
        <f t="shared" si="8"/>
        <v>1</v>
      </c>
      <c r="AR45" s="719">
        <f t="shared" si="8"/>
        <v>1</v>
      </c>
      <c r="AS45" s="719">
        <f t="shared" si="8"/>
        <v>1</v>
      </c>
      <c r="AT45" s="719">
        <f t="shared" si="8"/>
        <v>1</v>
      </c>
      <c r="AU45" s="434">
        <f t="shared" si="8"/>
        <v>1</v>
      </c>
    </row>
    <row r="46" spans="1:47" s="15" customFormat="1" ht="13.5" outlineLevel="1" x14ac:dyDescent="0.25">
      <c r="B46" s="671" t="s">
        <v>1001</v>
      </c>
      <c r="C46" s="719">
        <f t="shared" ref="C46:AU46" si="9">IF(C39&gt;$E9,1,0)</f>
        <v>0</v>
      </c>
      <c r="D46" s="719">
        <f t="shared" si="9"/>
        <v>0</v>
      </c>
      <c r="E46" s="719">
        <f t="shared" si="9"/>
        <v>0</v>
      </c>
      <c r="F46" s="719">
        <f t="shared" si="9"/>
        <v>0</v>
      </c>
      <c r="G46" s="719">
        <f t="shared" si="9"/>
        <v>0</v>
      </c>
      <c r="H46" s="719">
        <f t="shared" si="9"/>
        <v>0</v>
      </c>
      <c r="I46" s="719">
        <f t="shared" si="9"/>
        <v>0</v>
      </c>
      <c r="J46" s="719">
        <f t="shared" si="9"/>
        <v>0</v>
      </c>
      <c r="K46" s="719">
        <f t="shared" si="9"/>
        <v>0</v>
      </c>
      <c r="L46" s="719">
        <f t="shared" si="9"/>
        <v>0</v>
      </c>
      <c r="M46" s="719">
        <f t="shared" si="9"/>
        <v>1</v>
      </c>
      <c r="N46" s="719">
        <f t="shared" si="9"/>
        <v>1</v>
      </c>
      <c r="O46" s="719">
        <f t="shared" si="9"/>
        <v>1</v>
      </c>
      <c r="P46" s="719">
        <f t="shared" si="9"/>
        <v>1</v>
      </c>
      <c r="Q46" s="719">
        <f t="shared" si="9"/>
        <v>1</v>
      </c>
      <c r="R46" s="719">
        <f t="shared" si="9"/>
        <v>1</v>
      </c>
      <c r="S46" s="719">
        <f t="shared" si="9"/>
        <v>1</v>
      </c>
      <c r="T46" s="719">
        <f t="shared" si="9"/>
        <v>1</v>
      </c>
      <c r="U46" s="719">
        <f t="shared" si="9"/>
        <v>1</v>
      </c>
      <c r="V46" s="719">
        <f t="shared" si="9"/>
        <v>1</v>
      </c>
      <c r="W46" s="719">
        <f t="shared" si="9"/>
        <v>1</v>
      </c>
      <c r="X46" s="719">
        <f t="shared" si="9"/>
        <v>1</v>
      </c>
      <c r="Y46" s="719">
        <f t="shared" si="9"/>
        <v>1</v>
      </c>
      <c r="Z46" s="719">
        <f t="shared" si="9"/>
        <v>1</v>
      </c>
      <c r="AA46" s="719">
        <f t="shared" si="9"/>
        <v>1</v>
      </c>
      <c r="AB46" s="719">
        <f t="shared" si="9"/>
        <v>1</v>
      </c>
      <c r="AC46" s="719">
        <f t="shared" si="9"/>
        <v>1</v>
      </c>
      <c r="AD46" s="719">
        <f t="shared" si="9"/>
        <v>1</v>
      </c>
      <c r="AE46" s="719">
        <f t="shared" si="9"/>
        <v>1</v>
      </c>
      <c r="AF46" s="719">
        <f t="shared" si="9"/>
        <v>1</v>
      </c>
      <c r="AG46" s="719">
        <f t="shared" si="9"/>
        <v>1</v>
      </c>
      <c r="AH46" s="719">
        <f t="shared" si="9"/>
        <v>1</v>
      </c>
      <c r="AI46" s="719">
        <f t="shared" si="9"/>
        <v>1</v>
      </c>
      <c r="AJ46" s="719">
        <f t="shared" si="9"/>
        <v>1</v>
      </c>
      <c r="AK46" s="719">
        <f t="shared" si="9"/>
        <v>1</v>
      </c>
      <c r="AL46" s="719">
        <f t="shared" si="9"/>
        <v>1</v>
      </c>
      <c r="AM46" s="719">
        <f t="shared" si="9"/>
        <v>1</v>
      </c>
      <c r="AN46" s="719">
        <f t="shared" si="9"/>
        <v>1</v>
      </c>
      <c r="AO46" s="719">
        <f t="shared" si="9"/>
        <v>1</v>
      </c>
      <c r="AP46" s="719">
        <f t="shared" si="9"/>
        <v>1</v>
      </c>
      <c r="AQ46" s="719">
        <f t="shared" si="9"/>
        <v>1</v>
      </c>
      <c r="AR46" s="719">
        <f t="shared" si="9"/>
        <v>1</v>
      </c>
      <c r="AS46" s="719">
        <f t="shared" si="9"/>
        <v>1</v>
      </c>
      <c r="AT46" s="719">
        <f t="shared" si="9"/>
        <v>1</v>
      </c>
      <c r="AU46" s="434">
        <f t="shared" si="9"/>
        <v>1</v>
      </c>
    </row>
    <row r="47" spans="1:47" s="15" customFormat="1" ht="13.5" outlineLevel="1" x14ac:dyDescent="0.25">
      <c r="B47" s="671" t="s">
        <v>1003</v>
      </c>
      <c r="C47" s="719">
        <f t="shared" ref="C47:AU47" si="10">IF(C39&gt;$E10,1,0)</f>
        <v>0</v>
      </c>
      <c r="D47" s="719">
        <f t="shared" si="10"/>
        <v>0</v>
      </c>
      <c r="E47" s="719">
        <f t="shared" si="10"/>
        <v>1</v>
      </c>
      <c r="F47" s="719">
        <f t="shared" si="10"/>
        <v>1</v>
      </c>
      <c r="G47" s="719">
        <f t="shared" si="10"/>
        <v>1</v>
      </c>
      <c r="H47" s="719">
        <f t="shared" si="10"/>
        <v>1</v>
      </c>
      <c r="I47" s="719">
        <f t="shared" si="10"/>
        <v>1</v>
      </c>
      <c r="J47" s="719">
        <f t="shared" si="10"/>
        <v>1</v>
      </c>
      <c r="K47" s="719">
        <f t="shared" si="10"/>
        <v>1</v>
      </c>
      <c r="L47" s="719">
        <f t="shared" si="10"/>
        <v>1</v>
      </c>
      <c r="M47" s="719">
        <f t="shared" si="10"/>
        <v>1</v>
      </c>
      <c r="N47" s="719">
        <f t="shared" si="10"/>
        <v>1</v>
      </c>
      <c r="O47" s="719">
        <f t="shared" si="10"/>
        <v>1</v>
      </c>
      <c r="P47" s="719">
        <f t="shared" si="10"/>
        <v>1</v>
      </c>
      <c r="Q47" s="719">
        <f t="shared" si="10"/>
        <v>1</v>
      </c>
      <c r="R47" s="719">
        <f t="shared" si="10"/>
        <v>1</v>
      </c>
      <c r="S47" s="719">
        <f t="shared" si="10"/>
        <v>1</v>
      </c>
      <c r="T47" s="719">
        <f t="shared" si="10"/>
        <v>1</v>
      </c>
      <c r="U47" s="719">
        <f t="shared" si="10"/>
        <v>1</v>
      </c>
      <c r="V47" s="719">
        <f t="shared" si="10"/>
        <v>1</v>
      </c>
      <c r="W47" s="719">
        <f t="shared" si="10"/>
        <v>1</v>
      </c>
      <c r="X47" s="719">
        <f t="shared" si="10"/>
        <v>1</v>
      </c>
      <c r="Y47" s="719">
        <f t="shared" si="10"/>
        <v>1</v>
      </c>
      <c r="Z47" s="719">
        <f t="shared" si="10"/>
        <v>1</v>
      </c>
      <c r="AA47" s="719">
        <f t="shared" si="10"/>
        <v>1</v>
      </c>
      <c r="AB47" s="719">
        <f t="shared" si="10"/>
        <v>1</v>
      </c>
      <c r="AC47" s="719">
        <f t="shared" si="10"/>
        <v>1</v>
      </c>
      <c r="AD47" s="719">
        <f t="shared" si="10"/>
        <v>1</v>
      </c>
      <c r="AE47" s="719">
        <f t="shared" si="10"/>
        <v>1</v>
      </c>
      <c r="AF47" s="719">
        <f t="shared" si="10"/>
        <v>1</v>
      </c>
      <c r="AG47" s="719">
        <f t="shared" si="10"/>
        <v>1</v>
      </c>
      <c r="AH47" s="719">
        <f t="shared" si="10"/>
        <v>1</v>
      </c>
      <c r="AI47" s="719">
        <f t="shared" si="10"/>
        <v>1</v>
      </c>
      <c r="AJ47" s="719">
        <f t="shared" si="10"/>
        <v>1</v>
      </c>
      <c r="AK47" s="719">
        <f t="shared" si="10"/>
        <v>1</v>
      </c>
      <c r="AL47" s="719">
        <f t="shared" si="10"/>
        <v>1</v>
      </c>
      <c r="AM47" s="719">
        <f t="shared" si="10"/>
        <v>1</v>
      </c>
      <c r="AN47" s="719">
        <f t="shared" si="10"/>
        <v>1</v>
      </c>
      <c r="AO47" s="719">
        <f t="shared" si="10"/>
        <v>1</v>
      </c>
      <c r="AP47" s="719">
        <f t="shared" si="10"/>
        <v>1</v>
      </c>
      <c r="AQ47" s="719">
        <f t="shared" si="10"/>
        <v>1</v>
      </c>
      <c r="AR47" s="719">
        <f t="shared" si="10"/>
        <v>1</v>
      </c>
      <c r="AS47" s="719">
        <f t="shared" si="10"/>
        <v>1</v>
      </c>
      <c r="AT47" s="719">
        <f t="shared" si="10"/>
        <v>1</v>
      </c>
      <c r="AU47" s="434">
        <f t="shared" si="10"/>
        <v>1</v>
      </c>
    </row>
    <row r="48" spans="1:47" s="15" customFormat="1" ht="13.5" outlineLevel="1" x14ac:dyDescent="0.25">
      <c r="B48" s="431"/>
      <c r="C48" s="719"/>
      <c r="D48" s="719"/>
      <c r="E48" s="719"/>
      <c r="F48" s="719"/>
      <c r="G48" s="719"/>
      <c r="H48" s="719"/>
      <c r="I48" s="719"/>
      <c r="J48" s="719"/>
      <c r="K48" s="719"/>
      <c r="L48" s="719"/>
      <c r="M48" s="719"/>
      <c r="N48" s="719"/>
      <c r="O48" s="719"/>
      <c r="P48" s="719"/>
      <c r="Q48" s="719"/>
      <c r="R48" s="719"/>
      <c r="S48" s="719"/>
      <c r="T48" s="719"/>
      <c r="U48" s="719"/>
      <c r="V48" s="719"/>
      <c r="W48" s="719"/>
      <c r="X48" s="719"/>
      <c r="Y48" s="719"/>
      <c r="Z48" s="719"/>
      <c r="AA48" s="719"/>
      <c r="AB48" s="719"/>
      <c r="AC48" s="719"/>
      <c r="AD48" s="719"/>
      <c r="AE48" s="719"/>
      <c r="AF48" s="719"/>
      <c r="AG48" s="719"/>
      <c r="AH48" s="719"/>
      <c r="AI48" s="719"/>
      <c r="AJ48" s="719"/>
      <c r="AK48" s="719"/>
      <c r="AL48" s="719"/>
      <c r="AM48" s="719"/>
      <c r="AN48" s="719"/>
      <c r="AO48" s="719"/>
      <c r="AP48" s="719"/>
      <c r="AQ48" s="719"/>
      <c r="AR48" s="719"/>
      <c r="AS48" s="719"/>
      <c r="AT48" s="719"/>
      <c r="AU48" s="434"/>
    </row>
    <row r="49" spans="2:47" s="15" customFormat="1" ht="13.5" outlineLevel="1" x14ac:dyDescent="0.25">
      <c r="B49" s="431" t="s">
        <v>917</v>
      </c>
      <c r="C49" s="717">
        <f t="shared" ref="C49:AU49" si="11">$G$8*$M$8/$E$8*C41+$G$9*$M$9/$E$9*C42+$G$10*$M$10/$E$10*C43</f>
        <v>160.06891081081076</v>
      </c>
      <c r="D49" s="717">
        <f t="shared" si="11"/>
        <v>160.06891081081076</v>
      </c>
      <c r="E49" s="717">
        <f t="shared" si="11"/>
        <v>160.06891081081076</v>
      </c>
      <c r="F49" s="717">
        <f t="shared" si="11"/>
        <v>160.06891081081076</v>
      </c>
      <c r="G49" s="717">
        <f t="shared" si="11"/>
        <v>160.06891081081076</v>
      </c>
      <c r="H49" s="717">
        <f t="shared" si="11"/>
        <v>160.06891081081076</v>
      </c>
      <c r="I49" s="717">
        <f t="shared" si="11"/>
        <v>160.06891081081076</v>
      </c>
      <c r="J49" s="717">
        <f t="shared" si="11"/>
        <v>160.06891081081076</v>
      </c>
      <c r="K49" s="717">
        <f t="shared" si="11"/>
        <v>160.06891081081076</v>
      </c>
      <c r="L49" s="717">
        <f t="shared" si="11"/>
        <v>160.06891081081076</v>
      </c>
      <c r="M49" s="717">
        <f t="shared" si="11"/>
        <v>0</v>
      </c>
      <c r="N49" s="717">
        <f t="shared" si="11"/>
        <v>0</v>
      </c>
      <c r="O49" s="717">
        <f t="shared" si="11"/>
        <v>0</v>
      </c>
      <c r="P49" s="717">
        <f t="shared" si="11"/>
        <v>0</v>
      </c>
      <c r="Q49" s="717">
        <f t="shared" si="11"/>
        <v>0</v>
      </c>
      <c r="R49" s="717">
        <f t="shared" si="11"/>
        <v>0</v>
      </c>
      <c r="S49" s="717">
        <f t="shared" si="11"/>
        <v>0</v>
      </c>
      <c r="T49" s="717">
        <f t="shared" si="11"/>
        <v>0</v>
      </c>
      <c r="U49" s="717">
        <f t="shared" si="11"/>
        <v>0</v>
      </c>
      <c r="V49" s="717">
        <f t="shared" si="11"/>
        <v>0</v>
      </c>
      <c r="W49" s="717">
        <f t="shared" si="11"/>
        <v>0</v>
      </c>
      <c r="X49" s="717">
        <f t="shared" si="11"/>
        <v>0</v>
      </c>
      <c r="Y49" s="717">
        <f t="shared" si="11"/>
        <v>0</v>
      </c>
      <c r="Z49" s="717">
        <f t="shared" si="11"/>
        <v>0</v>
      </c>
      <c r="AA49" s="717">
        <f t="shared" si="11"/>
        <v>0</v>
      </c>
      <c r="AB49" s="717">
        <f t="shared" si="11"/>
        <v>0</v>
      </c>
      <c r="AC49" s="717">
        <f t="shared" si="11"/>
        <v>0</v>
      </c>
      <c r="AD49" s="717">
        <f t="shared" si="11"/>
        <v>0</v>
      </c>
      <c r="AE49" s="717">
        <f t="shared" si="11"/>
        <v>0</v>
      </c>
      <c r="AF49" s="717">
        <f t="shared" si="11"/>
        <v>0</v>
      </c>
      <c r="AG49" s="717">
        <f t="shared" si="11"/>
        <v>0</v>
      </c>
      <c r="AH49" s="717">
        <f t="shared" si="11"/>
        <v>0</v>
      </c>
      <c r="AI49" s="717">
        <f t="shared" si="11"/>
        <v>0</v>
      </c>
      <c r="AJ49" s="717">
        <f t="shared" si="11"/>
        <v>0</v>
      </c>
      <c r="AK49" s="717">
        <f t="shared" si="11"/>
        <v>0</v>
      </c>
      <c r="AL49" s="717">
        <f t="shared" si="11"/>
        <v>0</v>
      </c>
      <c r="AM49" s="717">
        <f t="shared" si="11"/>
        <v>0</v>
      </c>
      <c r="AN49" s="717">
        <f t="shared" si="11"/>
        <v>0</v>
      </c>
      <c r="AO49" s="717">
        <f t="shared" si="11"/>
        <v>0</v>
      </c>
      <c r="AP49" s="717">
        <f t="shared" si="11"/>
        <v>0</v>
      </c>
      <c r="AQ49" s="717">
        <f t="shared" si="11"/>
        <v>0</v>
      </c>
      <c r="AR49" s="717">
        <f t="shared" si="11"/>
        <v>0</v>
      </c>
      <c r="AS49" s="717">
        <f t="shared" si="11"/>
        <v>0</v>
      </c>
      <c r="AT49" s="717">
        <f t="shared" si="11"/>
        <v>0</v>
      </c>
      <c r="AU49" s="718">
        <f t="shared" si="11"/>
        <v>0</v>
      </c>
    </row>
    <row r="50" spans="2:47" s="15" customFormat="1" ht="13.5" outlineLevel="1" x14ac:dyDescent="0.25">
      <c r="B50" s="431" t="s">
        <v>918</v>
      </c>
      <c r="C50" s="717">
        <f t="shared" ref="C50:AU50" si="12">SUMPRODUCT(C45:C47,$H$8:$H$10,$J$8:$J$10,$K$8:$K$10)*$C$18+SUMPRODUCT(C45:C47,$I$8:$I$10,$J$8:$J$10,$L$8:$L$10)*$C$17</f>
        <v>0</v>
      </c>
      <c r="D50" s="717">
        <f t="shared" si="12"/>
        <v>0</v>
      </c>
      <c r="E50" s="717">
        <f t="shared" si="12"/>
        <v>105.60000000000002</v>
      </c>
      <c r="F50" s="717">
        <f t="shared" si="12"/>
        <v>105.60000000000002</v>
      </c>
      <c r="G50" s="717">
        <f t="shared" si="12"/>
        <v>105.60000000000002</v>
      </c>
      <c r="H50" s="717">
        <f t="shared" si="12"/>
        <v>105.60000000000002</v>
      </c>
      <c r="I50" s="717">
        <f t="shared" si="12"/>
        <v>105.60000000000002</v>
      </c>
      <c r="J50" s="717">
        <f t="shared" si="12"/>
        <v>105.60000000000002</v>
      </c>
      <c r="K50" s="717">
        <f t="shared" si="12"/>
        <v>105.60000000000002</v>
      </c>
      <c r="L50" s="717">
        <f t="shared" si="12"/>
        <v>105.60000000000002</v>
      </c>
      <c r="M50" s="717">
        <f t="shared" si="12"/>
        <v>963.375</v>
      </c>
      <c r="N50" s="717">
        <f t="shared" si="12"/>
        <v>963.375</v>
      </c>
      <c r="O50" s="717">
        <f t="shared" si="12"/>
        <v>963.375</v>
      </c>
      <c r="P50" s="717">
        <f t="shared" si="12"/>
        <v>963.375</v>
      </c>
      <c r="Q50" s="717">
        <f t="shared" si="12"/>
        <v>963.375</v>
      </c>
      <c r="R50" s="717">
        <f t="shared" si="12"/>
        <v>963.375</v>
      </c>
      <c r="S50" s="717">
        <f t="shared" si="12"/>
        <v>963.375</v>
      </c>
      <c r="T50" s="717">
        <f t="shared" si="12"/>
        <v>963.375</v>
      </c>
      <c r="U50" s="717">
        <f t="shared" si="12"/>
        <v>963.375</v>
      </c>
      <c r="V50" s="717">
        <f t="shared" si="12"/>
        <v>963.375</v>
      </c>
      <c r="W50" s="717">
        <f t="shared" si="12"/>
        <v>963.375</v>
      </c>
      <c r="X50" s="717">
        <f t="shared" si="12"/>
        <v>963.375</v>
      </c>
      <c r="Y50" s="717">
        <f t="shared" si="12"/>
        <v>963.375</v>
      </c>
      <c r="Z50" s="717">
        <f t="shared" si="12"/>
        <v>963.375</v>
      </c>
      <c r="AA50" s="717">
        <f t="shared" si="12"/>
        <v>963.375</v>
      </c>
      <c r="AB50" s="717">
        <f t="shared" si="12"/>
        <v>963.375</v>
      </c>
      <c r="AC50" s="717">
        <f t="shared" si="12"/>
        <v>963.375</v>
      </c>
      <c r="AD50" s="717">
        <f t="shared" si="12"/>
        <v>963.375</v>
      </c>
      <c r="AE50" s="717">
        <f t="shared" si="12"/>
        <v>963.375</v>
      </c>
      <c r="AF50" s="717">
        <f t="shared" si="12"/>
        <v>963.375</v>
      </c>
      <c r="AG50" s="717">
        <f t="shared" si="12"/>
        <v>963.375</v>
      </c>
      <c r="AH50" s="717">
        <f t="shared" si="12"/>
        <v>963.375</v>
      </c>
      <c r="AI50" s="717">
        <f t="shared" si="12"/>
        <v>963.375</v>
      </c>
      <c r="AJ50" s="717">
        <f t="shared" si="12"/>
        <v>963.375</v>
      </c>
      <c r="AK50" s="717">
        <f t="shared" si="12"/>
        <v>963.375</v>
      </c>
      <c r="AL50" s="717">
        <f t="shared" si="12"/>
        <v>963.375</v>
      </c>
      <c r="AM50" s="717">
        <f t="shared" si="12"/>
        <v>963.375</v>
      </c>
      <c r="AN50" s="717">
        <f t="shared" si="12"/>
        <v>963.375</v>
      </c>
      <c r="AO50" s="717">
        <f t="shared" si="12"/>
        <v>963.375</v>
      </c>
      <c r="AP50" s="717">
        <f t="shared" si="12"/>
        <v>963.375</v>
      </c>
      <c r="AQ50" s="717">
        <f t="shared" si="12"/>
        <v>963.375</v>
      </c>
      <c r="AR50" s="717">
        <f t="shared" si="12"/>
        <v>963.375</v>
      </c>
      <c r="AS50" s="717">
        <f t="shared" si="12"/>
        <v>963.375</v>
      </c>
      <c r="AT50" s="717">
        <f t="shared" si="12"/>
        <v>963.375</v>
      </c>
      <c r="AU50" s="718">
        <f t="shared" si="12"/>
        <v>963.375</v>
      </c>
    </row>
    <row r="51" spans="2:47" s="15" customFormat="1" ht="13.5" outlineLevel="1" x14ac:dyDescent="0.25">
      <c r="B51" s="696" t="s">
        <v>919</v>
      </c>
      <c r="C51" s="729">
        <f t="shared" ref="C51:AU51" si="13">C49-C50</f>
        <v>160.06891081081076</v>
      </c>
      <c r="D51" s="729">
        <f t="shared" si="13"/>
        <v>160.06891081081076</v>
      </c>
      <c r="E51" s="729">
        <f t="shared" si="13"/>
        <v>54.46891081081074</v>
      </c>
      <c r="F51" s="729">
        <f t="shared" si="13"/>
        <v>54.46891081081074</v>
      </c>
      <c r="G51" s="729">
        <f t="shared" si="13"/>
        <v>54.46891081081074</v>
      </c>
      <c r="H51" s="729">
        <f t="shared" si="13"/>
        <v>54.46891081081074</v>
      </c>
      <c r="I51" s="729">
        <f t="shared" si="13"/>
        <v>54.46891081081074</v>
      </c>
      <c r="J51" s="729">
        <f t="shared" si="13"/>
        <v>54.46891081081074</v>
      </c>
      <c r="K51" s="729">
        <f t="shared" si="13"/>
        <v>54.46891081081074</v>
      </c>
      <c r="L51" s="729">
        <f t="shared" si="13"/>
        <v>54.46891081081074</v>
      </c>
      <c r="M51" s="729">
        <f t="shared" si="13"/>
        <v>-963.375</v>
      </c>
      <c r="N51" s="729">
        <f t="shared" si="13"/>
        <v>-963.375</v>
      </c>
      <c r="O51" s="729">
        <f t="shared" si="13"/>
        <v>-963.375</v>
      </c>
      <c r="P51" s="729">
        <f t="shared" si="13"/>
        <v>-963.375</v>
      </c>
      <c r="Q51" s="729">
        <f t="shared" si="13"/>
        <v>-963.375</v>
      </c>
      <c r="R51" s="729">
        <f t="shared" si="13"/>
        <v>-963.375</v>
      </c>
      <c r="S51" s="729">
        <f t="shared" si="13"/>
        <v>-963.375</v>
      </c>
      <c r="T51" s="729">
        <f t="shared" si="13"/>
        <v>-963.375</v>
      </c>
      <c r="U51" s="729">
        <f t="shared" si="13"/>
        <v>-963.375</v>
      </c>
      <c r="V51" s="729">
        <f t="shared" si="13"/>
        <v>-963.375</v>
      </c>
      <c r="W51" s="729">
        <f t="shared" si="13"/>
        <v>-963.375</v>
      </c>
      <c r="X51" s="729">
        <f t="shared" si="13"/>
        <v>-963.375</v>
      </c>
      <c r="Y51" s="729">
        <f t="shared" si="13"/>
        <v>-963.375</v>
      </c>
      <c r="Z51" s="729">
        <f t="shared" si="13"/>
        <v>-963.375</v>
      </c>
      <c r="AA51" s="729">
        <f t="shared" si="13"/>
        <v>-963.375</v>
      </c>
      <c r="AB51" s="729">
        <f t="shared" si="13"/>
        <v>-963.375</v>
      </c>
      <c r="AC51" s="729">
        <f t="shared" si="13"/>
        <v>-963.375</v>
      </c>
      <c r="AD51" s="729">
        <f t="shared" si="13"/>
        <v>-963.375</v>
      </c>
      <c r="AE51" s="729">
        <f t="shared" si="13"/>
        <v>-963.375</v>
      </c>
      <c r="AF51" s="729">
        <f t="shared" si="13"/>
        <v>-963.375</v>
      </c>
      <c r="AG51" s="729">
        <f t="shared" si="13"/>
        <v>-963.375</v>
      </c>
      <c r="AH51" s="729">
        <f t="shared" si="13"/>
        <v>-963.375</v>
      </c>
      <c r="AI51" s="729">
        <f t="shared" si="13"/>
        <v>-963.375</v>
      </c>
      <c r="AJ51" s="729">
        <f t="shared" si="13"/>
        <v>-963.375</v>
      </c>
      <c r="AK51" s="729">
        <f t="shared" si="13"/>
        <v>-963.375</v>
      </c>
      <c r="AL51" s="729">
        <f t="shared" si="13"/>
        <v>-963.375</v>
      </c>
      <c r="AM51" s="729">
        <f t="shared" si="13"/>
        <v>-963.375</v>
      </c>
      <c r="AN51" s="729">
        <f t="shared" si="13"/>
        <v>-963.375</v>
      </c>
      <c r="AO51" s="729">
        <f t="shared" si="13"/>
        <v>-963.375</v>
      </c>
      <c r="AP51" s="729">
        <f t="shared" si="13"/>
        <v>-963.375</v>
      </c>
      <c r="AQ51" s="729">
        <f t="shared" si="13"/>
        <v>-963.375</v>
      </c>
      <c r="AR51" s="729">
        <f t="shared" si="13"/>
        <v>-963.375</v>
      </c>
      <c r="AS51" s="729">
        <f t="shared" si="13"/>
        <v>-963.375</v>
      </c>
      <c r="AT51" s="729">
        <f t="shared" si="13"/>
        <v>-963.375</v>
      </c>
      <c r="AU51" s="747">
        <f t="shared" si="13"/>
        <v>-963.375</v>
      </c>
    </row>
    <row r="52" spans="2:47" s="15" customFormat="1" ht="13.5" outlineLevel="1" x14ac:dyDescent="0.25">
      <c r="B52" s="678" t="s">
        <v>1016</v>
      </c>
      <c r="C52" s="717"/>
      <c r="D52" s="717"/>
      <c r="E52" s="717"/>
      <c r="F52" s="717"/>
      <c r="G52" s="717"/>
      <c r="H52" s="717"/>
      <c r="I52" s="717"/>
      <c r="J52" s="717"/>
      <c r="K52" s="717"/>
      <c r="L52" s="717"/>
      <c r="M52" s="717"/>
      <c r="N52" s="717"/>
      <c r="O52" s="717"/>
      <c r="P52" s="717"/>
      <c r="Q52" s="717"/>
      <c r="R52" s="717"/>
      <c r="S52" s="717"/>
      <c r="T52" s="717"/>
      <c r="U52" s="717"/>
      <c r="V52" s="717"/>
      <c r="W52" s="717"/>
      <c r="X52" s="717"/>
      <c r="Y52" s="717"/>
      <c r="Z52" s="717"/>
      <c r="AA52" s="717"/>
      <c r="AB52" s="717"/>
      <c r="AC52" s="717"/>
      <c r="AD52" s="717"/>
      <c r="AE52" s="717"/>
      <c r="AF52" s="717"/>
      <c r="AG52" s="717"/>
      <c r="AH52" s="717"/>
      <c r="AI52" s="717"/>
      <c r="AJ52" s="717"/>
      <c r="AK52" s="717"/>
      <c r="AL52" s="717"/>
      <c r="AM52" s="717"/>
      <c r="AN52" s="717"/>
      <c r="AO52" s="717"/>
      <c r="AP52" s="717"/>
      <c r="AQ52" s="717"/>
      <c r="AR52" s="717"/>
      <c r="AS52" s="717"/>
      <c r="AT52" s="717"/>
      <c r="AU52" s="718"/>
    </row>
    <row r="53" spans="2:47" s="15" customFormat="1" ht="13.5" outlineLevel="1" x14ac:dyDescent="0.25">
      <c r="B53" s="722" t="s">
        <v>1017</v>
      </c>
      <c r="C53" s="717">
        <f>SUMPRODUCT(C45:C47,$I$8:$I$10,$J$8:$J$10,$L$8:$L$10)*1000</f>
        <v>0</v>
      </c>
      <c r="D53" s="717">
        <f t="shared" ref="D53:AU53" si="14">SUMPRODUCT(D45:D47,$I$8:$I$10,$J$8:$J$10,$L$8:$L$10)*1000</f>
        <v>0</v>
      </c>
      <c r="E53" s="717">
        <f>SUMPRODUCT(E45:E47,$I$8:$I$10,$J$8:$J$10,$L$8:$L$10)*1000</f>
        <v>1320.0000000000002</v>
      </c>
      <c r="F53" s="717">
        <f t="shared" si="14"/>
        <v>1320.0000000000002</v>
      </c>
      <c r="G53" s="717">
        <f t="shared" si="14"/>
        <v>1320.0000000000002</v>
      </c>
      <c r="H53" s="717">
        <f t="shared" si="14"/>
        <v>1320.0000000000002</v>
      </c>
      <c r="I53" s="717">
        <f t="shared" si="14"/>
        <v>1320.0000000000002</v>
      </c>
      <c r="J53" s="717">
        <f t="shared" si="14"/>
        <v>1320.0000000000002</v>
      </c>
      <c r="K53" s="717">
        <f t="shared" si="14"/>
        <v>1320.0000000000002</v>
      </c>
      <c r="L53" s="717">
        <f t="shared" si="14"/>
        <v>1320.0000000000002</v>
      </c>
      <c r="M53" s="717">
        <f t="shared" si="14"/>
        <v>4620.0000000000009</v>
      </c>
      <c r="N53" s="717">
        <f t="shared" si="14"/>
        <v>4620.0000000000009</v>
      </c>
      <c r="O53" s="717">
        <f t="shared" si="14"/>
        <v>4620.0000000000009</v>
      </c>
      <c r="P53" s="717">
        <f t="shared" si="14"/>
        <v>4620.0000000000009</v>
      </c>
      <c r="Q53" s="717">
        <f t="shared" si="14"/>
        <v>4620.0000000000009</v>
      </c>
      <c r="R53" s="717">
        <f t="shared" si="14"/>
        <v>4620.0000000000009</v>
      </c>
      <c r="S53" s="717">
        <f t="shared" si="14"/>
        <v>4620.0000000000009</v>
      </c>
      <c r="T53" s="717">
        <f t="shared" si="14"/>
        <v>4620.0000000000009</v>
      </c>
      <c r="U53" s="717">
        <f t="shared" si="14"/>
        <v>4620.0000000000009</v>
      </c>
      <c r="V53" s="717">
        <f t="shared" si="14"/>
        <v>4620.0000000000009</v>
      </c>
      <c r="W53" s="717">
        <f t="shared" si="14"/>
        <v>4620.0000000000009</v>
      </c>
      <c r="X53" s="717">
        <f t="shared" si="14"/>
        <v>4620.0000000000009</v>
      </c>
      <c r="Y53" s="717">
        <f t="shared" si="14"/>
        <v>4620.0000000000009</v>
      </c>
      <c r="Z53" s="717">
        <f t="shared" si="14"/>
        <v>4620.0000000000009</v>
      </c>
      <c r="AA53" s="717">
        <f t="shared" si="14"/>
        <v>4620.0000000000009</v>
      </c>
      <c r="AB53" s="717">
        <f t="shared" si="14"/>
        <v>4620.0000000000009</v>
      </c>
      <c r="AC53" s="717">
        <f t="shared" si="14"/>
        <v>4620.0000000000009</v>
      </c>
      <c r="AD53" s="717">
        <f t="shared" si="14"/>
        <v>4620.0000000000009</v>
      </c>
      <c r="AE53" s="717">
        <f t="shared" si="14"/>
        <v>4620.0000000000009</v>
      </c>
      <c r="AF53" s="717">
        <f t="shared" si="14"/>
        <v>4620.0000000000009</v>
      </c>
      <c r="AG53" s="717">
        <f t="shared" si="14"/>
        <v>4620.0000000000009</v>
      </c>
      <c r="AH53" s="717">
        <f t="shared" si="14"/>
        <v>4620.0000000000009</v>
      </c>
      <c r="AI53" s="717">
        <f t="shared" si="14"/>
        <v>4620.0000000000009</v>
      </c>
      <c r="AJ53" s="717">
        <f t="shared" si="14"/>
        <v>4620.0000000000009</v>
      </c>
      <c r="AK53" s="717">
        <f t="shared" si="14"/>
        <v>4620.0000000000009</v>
      </c>
      <c r="AL53" s="717">
        <f t="shared" si="14"/>
        <v>4620.0000000000009</v>
      </c>
      <c r="AM53" s="717">
        <f t="shared" si="14"/>
        <v>4620.0000000000009</v>
      </c>
      <c r="AN53" s="717">
        <f t="shared" si="14"/>
        <v>4620.0000000000009</v>
      </c>
      <c r="AO53" s="717">
        <f t="shared" si="14"/>
        <v>4620.0000000000009</v>
      </c>
      <c r="AP53" s="717">
        <f t="shared" si="14"/>
        <v>4620.0000000000009</v>
      </c>
      <c r="AQ53" s="717">
        <f t="shared" si="14"/>
        <v>4620.0000000000009</v>
      </c>
      <c r="AR53" s="717">
        <f t="shared" si="14"/>
        <v>4620.0000000000009</v>
      </c>
      <c r="AS53" s="717">
        <f t="shared" si="14"/>
        <v>4620.0000000000009</v>
      </c>
      <c r="AT53" s="717">
        <f t="shared" si="14"/>
        <v>4620.0000000000009</v>
      </c>
      <c r="AU53" s="718">
        <f t="shared" si="14"/>
        <v>4620.0000000000009</v>
      </c>
    </row>
    <row r="54" spans="2:47" s="15" customFormat="1" ht="13.5" outlineLevel="1" x14ac:dyDescent="0.25">
      <c r="B54" s="722" t="s">
        <v>1018</v>
      </c>
      <c r="C54" s="717">
        <f t="shared" ref="C54:L54" si="15">SUMPRODUCT(C45:C47,$H$8:$H$10,$J$8:$J$10,$K$8:$K$10)*1000</f>
        <v>0</v>
      </c>
      <c r="D54" s="717">
        <f t="shared" si="15"/>
        <v>0</v>
      </c>
      <c r="E54" s="717">
        <f t="shared" si="15"/>
        <v>0</v>
      </c>
      <c r="F54" s="717">
        <f t="shared" si="15"/>
        <v>0</v>
      </c>
      <c r="G54" s="717">
        <f t="shared" si="15"/>
        <v>0</v>
      </c>
      <c r="H54" s="717">
        <f t="shared" si="15"/>
        <v>0</v>
      </c>
      <c r="I54" s="717">
        <f t="shared" si="15"/>
        <v>0</v>
      </c>
      <c r="J54" s="717">
        <f t="shared" si="15"/>
        <v>0</v>
      </c>
      <c r="K54" s="717">
        <f t="shared" si="15"/>
        <v>0</v>
      </c>
      <c r="L54" s="717">
        <f t="shared" si="15"/>
        <v>0</v>
      </c>
      <c r="M54" s="717">
        <f>SUMPRODUCT(M45:M47,$H$8:$H$10,$J$8:$J$10,$K$8:$K$10)*1000</f>
        <v>3958.5</v>
      </c>
      <c r="N54" s="717">
        <f t="shared" ref="N54:AU54" si="16">SUMPRODUCT(N45:N47,$H$8:$H$10,$J$8:$J$10,$K$8:$K$10)*1000</f>
        <v>3958.5</v>
      </c>
      <c r="O54" s="717">
        <f t="shared" si="16"/>
        <v>3958.5</v>
      </c>
      <c r="P54" s="717">
        <f t="shared" si="16"/>
        <v>3958.5</v>
      </c>
      <c r="Q54" s="717">
        <f t="shared" si="16"/>
        <v>3958.5</v>
      </c>
      <c r="R54" s="717">
        <f t="shared" si="16"/>
        <v>3958.5</v>
      </c>
      <c r="S54" s="717">
        <f t="shared" si="16"/>
        <v>3958.5</v>
      </c>
      <c r="T54" s="717">
        <f t="shared" si="16"/>
        <v>3958.5</v>
      </c>
      <c r="U54" s="717">
        <f t="shared" si="16"/>
        <v>3958.5</v>
      </c>
      <c r="V54" s="717">
        <f t="shared" si="16"/>
        <v>3958.5</v>
      </c>
      <c r="W54" s="717">
        <f t="shared" si="16"/>
        <v>3958.5</v>
      </c>
      <c r="X54" s="717">
        <f t="shared" si="16"/>
        <v>3958.5</v>
      </c>
      <c r="Y54" s="717">
        <f t="shared" si="16"/>
        <v>3958.5</v>
      </c>
      <c r="Z54" s="717">
        <f t="shared" si="16"/>
        <v>3958.5</v>
      </c>
      <c r="AA54" s="717">
        <f t="shared" si="16"/>
        <v>3958.5</v>
      </c>
      <c r="AB54" s="717">
        <f t="shared" si="16"/>
        <v>3958.5</v>
      </c>
      <c r="AC54" s="717">
        <f t="shared" si="16"/>
        <v>3958.5</v>
      </c>
      <c r="AD54" s="717">
        <f t="shared" si="16"/>
        <v>3958.5</v>
      </c>
      <c r="AE54" s="717">
        <f t="shared" si="16"/>
        <v>3958.5</v>
      </c>
      <c r="AF54" s="717">
        <f t="shared" si="16"/>
        <v>3958.5</v>
      </c>
      <c r="AG54" s="717">
        <f t="shared" si="16"/>
        <v>3958.5</v>
      </c>
      <c r="AH54" s="717">
        <f t="shared" si="16"/>
        <v>3958.5</v>
      </c>
      <c r="AI54" s="717">
        <f t="shared" si="16"/>
        <v>3958.5</v>
      </c>
      <c r="AJ54" s="717">
        <f t="shared" si="16"/>
        <v>3958.5</v>
      </c>
      <c r="AK54" s="717">
        <f t="shared" si="16"/>
        <v>3958.5</v>
      </c>
      <c r="AL54" s="717">
        <f t="shared" si="16"/>
        <v>3958.5</v>
      </c>
      <c r="AM54" s="717">
        <f t="shared" si="16"/>
        <v>3958.5</v>
      </c>
      <c r="AN54" s="717">
        <f t="shared" si="16"/>
        <v>3958.5</v>
      </c>
      <c r="AO54" s="717">
        <f t="shared" si="16"/>
        <v>3958.5</v>
      </c>
      <c r="AP54" s="717">
        <f t="shared" si="16"/>
        <v>3958.5</v>
      </c>
      <c r="AQ54" s="717">
        <f t="shared" si="16"/>
        <v>3958.5</v>
      </c>
      <c r="AR54" s="717">
        <f t="shared" si="16"/>
        <v>3958.5</v>
      </c>
      <c r="AS54" s="717">
        <f t="shared" si="16"/>
        <v>3958.5</v>
      </c>
      <c r="AT54" s="717">
        <f t="shared" si="16"/>
        <v>3958.5</v>
      </c>
      <c r="AU54" s="718">
        <f t="shared" si="16"/>
        <v>3958.5</v>
      </c>
    </row>
    <row r="55" spans="2:47" s="15" customFormat="1" ht="13.5" outlineLevel="1" x14ac:dyDescent="0.25">
      <c r="B55" s="696" t="s">
        <v>1019</v>
      </c>
      <c r="C55" s="729"/>
      <c r="D55" s="724"/>
      <c r="E55" s="724"/>
      <c r="F55" s="724"/>
      <c r="G55" s="724"/>
      <c r="H55" s="724"/>
      <c r="I55" s="724"/>
      <c r="J55" s="724"/>
      <c r="K55" s="724"/>
      <c r="L55" s="724"/>
      <c r="M55" s="724"/>
      <c r="N55" s="724"/>
      <c r="O55" s="724"/>
      <c r="P55" s="724"/>
      <c r="Q55" s="724"/>
      <c r="R55" s="724"/>
      <c r="S55" s="724"/>
      <c r="T55" s="724"/>
      <c r="U55" s="724"/>
      <c r="V55" s="724"/>
      <c r="W55" s="724"/>
      <c r="X55" s="724"/>
      <c r="Y55" s="724"/>
      <c r="Z55" s="724"/>
      <c r="AA55" s="724"/>
      <c r="AB55" s="724"/>
      <c r="AC55" s="724"/>
      <c r="AD55" s="724"/>
      <c r="AE55" s="724"/>
      <c r="AF55" s="724"/>
      <c r="AG55" s="724"/>
      <c r="AH55" s="724"/>
      <c r="AI55" s="724"/>
      <c r="AJ55" s="724"/>
      <c r="AK55" s="724"/>
      <c r="AL55" s="724"/>
      <c r="AM55" s="724"/>
      <c r="AN55" s="724"/>
      <c r="AO55" s="724"/>
      <c r="AP55" s="724"/>
      <c r="AQ55" s="724"/>
      <c r="AR55" s="724"/>
      <c r="AS55" s="724"/>
      <c r="AT55" s="724"/>
      <c r="AU55" s="725"/>
    </row>
    <row r="56" spans="2:47" s="15" customFormat="1" ht="13.5" outlineLevel="1" x14ac:dyDescent="0.25">
      <c r="B56" s="727" t="s">
        <v>1020</v>
      </c>
      <c r="C56" s="730">
        <f>SISENDID!H73</f>
        <v>5.9700000000000003E-2</v>
      </c>
      <c r="D56" s="730">
        <f>SISENDID!I73</f>
        <v>4.4775000000000002E-2</v>
      </c>
      <c r="E56" s="730">
        <f>SISENDID!J73</f>
        <v>2.9850000000000002E-2</v>
      </c>
      <c r="F56" s="730">
        <f>SISENDID!K73</f>
        <v>1.4925000000000001E-2</v>
      </c>
      <c r="G56" s="730">
        <f>SISENDID!L73</f>
        <v>0</v>
      </c>
      <c r="H56" s="730">
        <f>SISENDID!M73</f>
        <v>0</v>
      </c>
      <c r="I56" s="730">
        <f>SISENDID!N73</f>
        <v>0</v>
      </c>
      <c r="J56" s="730">
        <f>SISENDID!O73</f>
        <v>0</v>
      </c>
      <c r="K56" s="730">
        <f>SISENDID!P73</f>
        <v>0</v>
      </c>
      <c r="L56" s="730">
        <f>SISENDID!Q73</f>
        <v>0</v>
      </c>
      <c r="M56" s="730">
        <f>SISENDID!R73</f>
        <v>0</v>
      </c>
      <c r="N56" s="730">
        <f>SISENDID!S73</f>
        <v>0</v>
      </c>
      <c r="O56" s="730">
        <f>SISENDID!T73</f>
        <v>0</v>
      </c>
      <c r="P56" s="730">
        <f>SISENDID!U73</f>
        <v>0</v>
      </c>
      <c r="Q56" s="730">
        <f>SISENDID!V73</f>
        <v>0</v>
      </c>
      <c r="R56" s="730">
        <f>SISENDID!W73</f>
        <v>0</v>
      </c>
      <c r="S56" s="730">
        <f>SISENDID!X73</f>
        <v>0</v>
      </c>
      <c r="T56" s="730">
        <f>SISENDID!Y73</f>
        <v>0</v>
      </c>
      <c r="U56" s="730">
        <f>SISENDID!Z73</f>
        <v>0</v>
      </c>
      <c r="V56" s="730">
        <f>SISENDID!AA73</f>
        <v>0</v>
      </c>
      <c r="W56" s="730">
        <f>SISENDID!AB73</f>
        <v>0</v>
      </c>
      <c r="X56" s="730">
        <f>SISENDID!AC73</f>
        <v>0</v>
      </c>
      <c r="Y56" s="730">
        <f>SISENDID!AD73</f>
        <v>0</v>
      </c>
      <c r="Z56" s="730">
        <f>SISENDID!AE73</f>
        <v>0</v>
      </c>
      <c r="AA56" s="730">
        <f>SISENDID!AF73</f>
        <v>0</v>
      </c>
      <c r="AB56" s="730">
        <f>SISENDID!AG73</f>
        <v>0</v>
      </c>
      <c r="AC56" s="730">
        <f>SISENDID!AH73</f>
        <v>0</v>
      </c>
      <c r="AD56" s="730">
        <f>SISENDID!AI73</f>
        <v>0</v>
      </c>
      <c r="AE56" s="730">
        <f>SISENDID!AJ73</f>
        <v>0</v>
      </c>
      <c r="AF56" s="730">
        <f>SISENDID!AK73</f>
        <v>0</v>
      </c>
      <c r="AG56" s="730">
        <f>SISENDID!AL73</f>
        <v>0</v>
      </c>
      <c r="AH56" s="730">
        <f>SISENDID!AM73</f>
        <v>0</v>
      </c>
      <c r="AI56" s="730">
        <f>SISENDID!AN73</f>
        <v>0</v>
      </c>
      <c r="AJ56" s="730">
        <f>SISENDID!AO73</f>
        <v>0</v>
      </c>
      <c r="AK56" s="730">
        <f>SISENDID!AP73</f>
        <v>0</v>
      </c>
      <c r="AL56" s="730">
        <f>SISENDID!AQ73</f>
        <v>0</v>
      </c>
      <c r="AM56" s="730">
        <f>SISENDID!AR73</f>
        <v>0</v>
      </c>
      <c r="AN56" s="730">
        <f>SISENDID!AS73</f>
        <v>0</v>
      </c>
      <c r="AO56" s="730">
        <f>SISENDID!AT73</f>
        <v>0</v>
      </c>
      <c r="AP56" s="730">
        <f>SISENDID!AU73</f>
        <v>0</v>
      </c>
      <c r="AQ56" s="730">
        <f>SISENDID!AV73</f>
        <v>0</v>
      </c>
      <c r="AR56" s="730">
        <f>SISENDID!AW73</f>
        <v>0</v>
      </c>
      <c r="AS56" s="730">
        <f>SISENDID!AX73</f>
        <v>0</v>
      </c>
      <c r="AT56" s="730">
        <f>SISENDID!AY73</f>
        <v>0</v>
      </c>
      <c r="AU56" s="731">
        <f>SISENDID!AZ73</f>
        <v>0</v>
      </c>
    </row>
    <row r="57" spans="2:47" s="15" customFormat="1" ht="13.5" outlineLevel="1" x14ac:dyDescent="0.25">
      <c r="B57" s="727" t="s">
        <v>1021</v>
      </c>
      <c r="C57" s="762">
        <v>0</v>
      </c>
      <c r="D57" s="762">
        <v>0</v>
      </c>
      <c r="E57" s="762">
        <v>0</v>
      </c>
      <c r="F57" s="762">
        <v>0</v>
      </c>
      <c r="G57" s="762">
        <v>0</v>
      </c>
      <c r="H57" s="762">
        <v>0</v>
      </c>
      <c r="I57" s="762">
        <v>0</v>
      </c>
      <c r="J57" s="762">
        <v>0</v>
      </c>
      <c r="K57" s="762">
        <v>0</v>
      </c>
      <c r="L57" s="762">
        <v>0</v>
      </c>
      <c r="M57" s="762">
        <v>0</v>
      </c>
      <c r="N57" s="762">
        <v>0</v>
      </c>
      <c r="O57" s="762">
        <v>0</v>
      </c>
      <c r="P57" s="762">
        <v>0</v>
      </c>
      <c r="Q57" s="762">
        <v>0</v>
      </c>
      <c r="R57" s="762">
        <v>0</v>
      </c>
      <c r="S57" s="762">
        <v>0</v>
      </c>
      <c r="T57" s="762">
        <v>0</v>
      </c>
      <c r="U57" s="762">
        <v>0</v>
      </c>
      <c r="V57" s="762">
        <v>0</v>
      </c>
      <c r="W57" s="762">
        <v>0</v>
      </c>
      <c r="X57" s="762">
        <v>0</v>
      </c>
      <c r="Y57" s="762">
        <v>0</v>
      </c>
      <c r="Z57" s="762">
        <v>0</v>
      </c>
      <c r="AA57" s="762">
        <v>0</v>
      </c>
      <c r="AB57" s="762">
        <v>0</v>
      </c>
      <c r="AC57" s="762">
        <v>0</v>
      </c>
      <c r="AD57" s="762">
        <v>0</v>
      </c>
      <c r="AE57" s="762">
        <v>0</v>
      </c>
      <c r="AF57" s="762">
        <v>0</v>
      </c>
      <c r="AG57" s="762">
        <v>0</v>
      </c>
      <c r="AH57" s="762">
        <v>0</v>
      </c>
      <c r="AI57" s="762">
        <v>0</v>
      </c>
      <c r="AJ57" s="762">
        <v>0</v>
      </c>
      <c r="AK57" s="762">
        <v>0</v>
      </c>
      <c r="AL57" s="762">
        <v>0</v>
      </c>
      <c r="AM57" s="762">
        <v>0</v>
      </c>
      <c r="AN57" s="762">
        <v>0</v>
      </c>
      <c r="AO57" s="762">
        <v>0</v>
      </c>
      <c r="AP57" s="762">
        <v>0</v>
      </c>
      <c r="AQ57" s="762">
        <v>0</v>
      </c>
      <c r="AR57" s="762">
        <v>0</v>
      </c>
      <c r="AS57" s="762">
        <v>0</v>
      </c>
      <c r="AT57" s="762">
        <v>0</v>
      </c>
      <c r="AU57" s="763">
        <v>0</v>
      </c>
    </row>
    <row r="58" spans="2:47" s="39" customFormat="1" ht="13.5" outlineLevel="1" x14ac:dyDescent="0.25">
      <c r="B58" s="715" t="s">
        <v>931</v>
      </c>
      <c r="C58" s="720">
        <f>C53*C56+C54*C57</f>
        <v>0</v>
      </c>
      <c r="D58" s="720">
        <f t="shared" ref="D58:AU58" si="17">D53*D56+D54*D57</f>
        <v>0</v>
      </c>
      <c r="E58" s="720">
        <f t="shared" si="17"/>
        <v>39.402000000000008</v>
      </c>
      <c r="F58" s="720">
        <f t="shared" si="17"/>
        <v>19.701000000000004</v>
      </c>
      <c r="G58" s="720">
        <f t="shared" si="17"/>
        <v>0</v>
      </c>
      <c r="H58" s="720">
        <f t="shared" si="17"/>
        <v>0</v>
      </c>
      <c r="I58" s="720">
        <f t="shared" si="17"/>
        <v>0</v>
      </c>
      <c r="J58" s="720">
        <f t="shared" si="17"/>
        <v>0</v>
      </c>
      <c r="K58" s="720">
        <f t="shared" si="17"/>
        <v>0</v>
      </c>
      <c r="L58" s="720">
        <f t="shared" si="17"/>
        <v>0</v>
      </c>
      <c r="M58" s="720">
        <f t="shared" si="17"/>
        <v>0</v>
      </c>
      <c r="N58" s="720">
        <f t="shared" si="17"/>
        <v>0</v>
      </c>
      <c r="O58" s="720">
        <f t="shared" si="17"/>
        <v>0</v>
      </c>
      <c r="P58" s="720">
        <f t="shared" si="17"/>
        <v>0</v>
      </c>
      <c r="Q58" s="720">
        <f t="shared" si="17"/>
        <v>0</v>
      </c>
      <c r="R58" s="720">
        <f t="shared" si="17"/>
        <v>0</v>
      </c>
      <c r="S58" s="720">
        <f t="shared" si="17"/>
        <v>0</v>
      </c>
      <c r="T58" s="720">
        <f t="shared" si="17"/>
        <v>0</v>
      </c>
      <c r="U58" s="720">
        <f t="shared" si="17"/>
        <v>0</v>
      </c>
      <c r="V58" s="720">
        <f t="shared" si="17"/>
        <v>0</v>
      </c>
      <c r="W58" s="720">
        <f t="shared" si="17"/>
        <v>0</v>
      </c>
      <c r="X58" s="720">
        <f t="shared" si="17"/>
        <v>0</v>
      </c>
      <c r="Y58" s="720">
        <f t="shared" si="17"/>
        <v>0</v>
      </c>
      <c r="Z58" s="720">
        <f t="shared" si="17"/>
        <v>0</v>
      </c>
      <c r="AA58" s="720">
        <f t="shared" si="17"/>
        <v>0</v>
      </c>
      <c r="AB58" s="720">
        <f t="shared" si="17"/>
        <v>0</v>
      </c>
      <c r="AC58" s="720">
        <f t="shared" si="17"/>
        <v>0</v>
      </c>
      <c r="AD58" s="720">
        <f t="shared" si="17"/>
        <v>0</v>
      </c>
      <c r="AE58" s="720">
        <f t="shared" si="17"/>
        <v>0</v>
      </c>
      <c r="AF58" s="720">
        <f t="shared" si="17"/>
        <v>0</v>
      </c>
      <c r="AG58" s="720">
        <f t="shared" si="17"/>
        <v>0</v>
      </c>
      <c r="AH58" s="720">
        <f t="shared" si="17"/>
        <v>0</v>
      </c>
      <c r="AI58" s="720">
        <f t="shared" si="17"/>
        <v>0</v>
      </c>
      <c r="AJ58" s="720">
        <f t="shared" si="17"/>
        <v>0</v>
      </c>
      <c r="AK58" s="720">
        <f t="shared" si="17"/>
        <v>0</v>
      </c>
      <c r="AL58" s="720">
        <f t="shared" si="17"/>
        <v>0</v>
      </c>
      <c r="AM58" s="720">
        <f t="shared" si="17"/>
        <v>0</v>
      </c>
      <c r="AN58" s="720">
        <f t="shared" si="17"/>
        <v>0</v>
      </c>
      <c r="AO58" s="720">
        <f t="shared" si="17"/>
        <v>0</v>
      </c>
      <c r="AP58" s="720">
        <f t="shared" si="17"/>
        <v>0</v>
      </c>
      <c r="AQ58" s="720">
        <f t="shared" si="17"/>
        <v>0</v>
      </c>
      <c r="AR58" s="720">
        <f t="shared" si="17"/>
        <v>0</v>
      </c>
      <c r="AS58" s="720">
        <f t="shared" si="17"/>
        <v>0</v>
      </c>
      <c r="AT58" s="720">
        <f t="shared" si="17"/>
        <v>0</v>
      </c>
      <c r="AU58" s="721">
        <f t="shared" si="17"/>
        <v>0</v>
      </c>
    </row>
    <row r="59" spans="2:47" s="15" customFormat="1" ht="13.5" outlineLevel="1" x14ac:dyDescent="0.25">
      <c r="B59" s="226"/>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row>
    <row r="60" spans="2:47" s="15" customFormat="1" ht="13.5" outlineLevel="1" x14ac:dyDescent="0.25">
      <c r="B60" s="226"/>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row>
    <row r="61" spans="2:47" s="15" customFormat="1" ht="13.5" outlineLevel="1" x14ac:dyDescent="0.25">
      <c r="B61" s="226"/>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row>
    <row r="62" spans="2:47" s="15" customFormat="1" ht="18.75" customHeight="1" x14ac:dyDescent="0.25"/>
    <row r="63" spans="2:47" s="15" customFormat="1" ht="13.5" x14ac:dyDescent="0.25"/>
    <row r="64" spans="2:47" s="15" customFormat="1" ht="13.5" x14ac:dyDescent="0.25">
      <c r="C64" s="237"/>
      <c r="D64" s="237"/>
    </row>
    <row r="65" spans="3:4" x14ac:dyDescent="0.25">
      <c r="C65" s="238"/>
      <c r="D65" s="237"/>
    </row>
    <row r="66" spans="3:4" x14ac:dyDescent="0.25">
      <c r="C66" s="238"/>
      <c r="D66" s="237"/>
    </row>
    <row r="67" spans="3:4" x14ac:dyDescent="0.25">
      <c r="C67" s="238"/>
      <c r="D67" s="1"/>
    </row>
    <row r="68" spans="3:4" x14ac:dyDescent="0.25">
      <c r="C68" s="238"/>
      <c r="D68" s="1"/>
    </row>
    <row r="69" spans="3:4" x14ac:dyDescent="0.25">
      <c r="C69" s="238"/>
      <c r="D69" s="1"/>
    </row>
    <row r="70" spans="3:4" x14ac:dyDescent="0.25">
      <c r="C70" s="237"/>
      <c r="D70" s="1"/>
    </row>
    <row r="71" spans="3:4" x14ac:dyDescent="0.25">
      <c r="C71" s="237"/>
      <c r="D71" s="1"/>
    </row>
    <row r="72" spans="3:4" x14ac:dyDescent="0.25">
      <c r="C72" s="237"/>
      <c r="D72" s="1"/>
    </row>
    <row r="73" spans="3:4" x14ac:dyDescent="0.25">
      <c r="C73" s="237"/>
      <c r="D73" s="1"/>
    </row>
  </sheetData>
  <sheetProtection algorithmName="SHA-512" hashValue="NfkvncuYVFg7Mq+YzzTfpFJn85KmuFFlNkNn+knce2eZ17NJmEVklbMJa4MGQASQ7Zni7rPi6DFh+23zG4mRQQ==" saltValue="rhvK4b5oZdKsavMVsB3Weg==" spinCount="100000" sheet="1" objects="1" scenarios="1" selectLockedCells="1"/>
  <mergeCells count="2">
    <mergeCell ref="B3:F3"/>
    <mergeCell ref="G3:L3"/>
  </mergeCells>
  <conditionalFormatting sqref="C33:C35">
    <cfRule type="containsText" dxfId="71" priority="1" operator="containsText" text="Kõrge">
      <formula>NOT(ISERROR(SEARCH("Kõrge",C33)))</formula>
    </cfRule>
    <cfRule type="containsText" dxfId="70" priority="2" operator="containsText" text="Mõõdukas">
      <formula>NOT(ISERROR(SEARCH("Mõõdukas",C33)))</formula>
    </cfRule>
    <cfRule type="containsText" dxfId="69" priority="3" operator="containsText" text="Madal">
      <formula>NOT(ISERROR(SEARCH("Madal",C33)))</formula>
    </cfRule>
  </conditionalFormatting>
  <dataValidations count="3">
    <dataValidation type="list" allowBlank="1" showInputMessage="1" showErrorMessage="1" sqref="C35" xr:uid="{CCF673F0-2071-4BC9-AC60-0ACD50B20C76}">
      <formula1>I33:I35</formula1>
    </dataValidation>
    <dataValidation type="list" allowBlank="1" showInputMessage="1" showErrorMessage="1" sqref="C34" xr:uid="{1F9AC68C-E0B4-4588-9FFF-D76FB0732769}">
      <formula1>I33:I35</formula1>
    </dataValidation>
    <dataValidation type="list" allowBlank="1" showInputMessage="1" showErrorMessage="1" sqref="C33" xr:uid="{CE672982-682A-4104-B6BD-2F00CD8DD7C4}">
      <formula1>I33:I35</formula1>
    </dataValidation>
  </dataValidations>
  <hyperlinks>
    <hyperlink ref="B1" location="MEETMED!A1" display="&lt;-MEETMETE NIMEKIRI" xr:uid="{96B36D84-6AF7-47DB-AF0E-66AB01B66DED}"/>
    <hyperlink ref="N10" r:id="rId1" xr:uid="{85388817-3D83-417C-BAB4-02B64AB5B068}"/>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D7041-7A3D-42F0-B6C8-CCD83FFD95FE}">
  <sheetPr>
    <tabColor theme="9" tint="0.79998168889431442"/>
  </sheetPr>
  <dimension ref="A1:AV64"/>
  <sheetViews>
    <sheetView showGridLines="0" workbookViewId="0">
      <selection activeCell="C16" sqref="C16"/>
    </sheetView>
  </sheetViews>
  <sheetFormatPr defaultColWidth="8.85546875" defaultRowHeight="15" outlineLevelRow="1" x14ac:dyDescent="0.25"/>
  <cols>
    <col min="1" max="1" width="3.7109375" customWidth="1"/>
    <col min="2" max="2" width="43.85546875" customWidth="1"/>
    <col min="3" max="3" width="14.42578125" customWidth="1"/>
    <col min="4" max="4" width="14.28515625" customWidth="1"/>
    <col min="5" max="5" width="13.85546875" customWidth="1"/>
    <col min="6" max="6" width="12" customWidth="1"/>
    <col min="7" max="7" width="11.7109375" customWidth="1"/>
    <col min="8" max="8" width="13.570312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48.75" customHeight="1" x14ac:dyDescent="0.25">
      <c r="A3" s="260" t="s">
        <v>420</v>
      </c>
      <c r="B3" s="988" t="s">
        <v>1022</v>
      </c>
      <c r="C3" s="988"/>
      <c r="D3" s="988"/>
      <c r="E3" s="988" t="s">
        <v>1023</v>
      </c>
      <c r="F3" s="988"/>
      <c r="G3" s="988"/>
      <c r="H3" s="988"/>
      <c r="I3" s="988"/>
      <c r="J3" s="988"/>
      <c r="K3" s="988"/>
      <c r="L3" s="988"/>
      <c r="M3" s="1"/>
      <c r="N3" s="1"/>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861</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B6" s="155"/>
      <c r="C6" s="155"/>
      <c r="D6" s="155"/>
      <c r="E6" s="155"/>
      <c r="F6" s="155"/>
      <c r="G6" s="155"/>
      <c r="H6" s="155"/>
      <c r="I6" s="155"/>
      <c r="J6" s="155"/>
      <c r="K6" s="155"/>
      <c r="L6" s="155"/>
      <c r="M6" s="155"/>
    </row>
    <row r="7" spans="1:27" s="1" customFormat="1" outlineLevel="1" x14ac:dyDescent="0.25">
      <c r="B7" s="732"/>
      <c r="C7" s="732" t="s">
        <v>1024</v>
      </c>
      <c r="D7" s="732" t="s">
        <v>1025</v>
      </c>
      <c r="E7" s="155"/>
      <c r="F7" s="277" t="s">
        <v>876</v>
      </c>
      <c r="H7" s="155"/>
      <c r="I7" s="155"/>
      <c r="J7" s="155"/>
      <c r="K7" s="155"/>
      <c r="L7" s="155"/>
      <c r="M7" s="155"/>
    </row>
    <row r="8" spans="1:27" s="1" customFormat="1" outlineLevel="1" x14ac:dyDescent="0.25">
      <c r="B8" s="671" t="s">
        <v>485</v>
      </c>
      <c r="C8" s="734">
        <f>SISENDID!D40+SISENDID!D57</f>
        <v>1644.1999999999998</v>
      </c>
      <c r="D8" s="749">
        <f>SISENDID!H40+SISENDID!H57</f>
        <v>187956</v>
      </c>
      <c r="E8" s="155"/>
      <c r="F8" s="893" t="s">
        <v>1670</v>
      </c>
      <c r="G8" s="305" t="s">
        <v>877</v>
      </c>
      <c r="H8" s="155"/>
      <c r="I8" s="155"/>
      <c r="J8" s="155"/>
      <c r="K8" s="155"/>
      <c r="L8" s="155"/>
      <c r="M8" s="155"/>
    </row>
    <row r="9" spans="1:27" s="1" customFormat="1" outlineLevel="1" x14ac:dyDescent="0.25">
      <c r="B9" s="671" t="s">
        <v>483</v>
      </c>
      <c r="C9" s="734">
        <f>SISENDID!D41+SISENDID!D58</f>
        <v>2181.7939999999999</v>
      </c>
      <c r="D9" s="749">
        <f>SISENDID!H41+SISENDID!H58</f>
        <v>1081367</v>
      </c>
      <c r="E9" s="155"/>
      <c r="F9" s="892" t="s">
        <v>878</v>
      </c>
      <c r="G9" s="305" t="s">
        <v>1669</v>
      </c>
      <c r="H9" s="155"/>
      <c r="I9" s="155"/>
      <c r="J9" s="155"/>
      <c r="K9" s="155"/>
      <c r="L9" s="155"/>
      <c r="M9" s="155"/>
    </row>
    <row r="10" spans="1:27" s="1" customFormat="1" outlineLevel="1" x14ac:dyDescent="0.25">
      <c r="B10" s="671" t="s">
        <v>1026</v>
      </c>
      <c r="C10" s="734">
        <f>SISENDID!D42+SISENDID!D59</f>
        <v>1357.8989999999999</v>
      </c>
      <c r="D10" s="749">
        <f>SISENDID!H42+SISENDID!H59</f>
        <v>270487</v>
      </c>
      <c r="E10" s="155"/>
      <c r="F10" s="892" t="s">
        <v>1671</v>
      </c>
      <c r="G10" s="228">
        <v>1234</v>
      </c>
      <c r="H10" s="155"/>
      <c r="I10" s="155"/>
      <c r="J10" s="155"/>
      <c r="K10" s="155"/>
      <c r="L10" s="155"/>
      <c r="M10" s="155"/>
    </row>
    <row r="11" spans="1:27" s="1" customFormat="1" outlineLevel="1" x14ac:dyDescent="0.25">
      <c r="B11" s="671"/>
      <c r="C11" s="679"/>
      <c r="D11" s="768"/>
      <c r="E11" s="155"/>
      <c r="F11" s="155"/>
      <c r="G11" s="155"/>
      <c r="H11" s="155"/>
      <c r="I11" s="155"/>
      <c r="J11" s="155"/>
      <c r="K11" s="155"/>
      <c r="L11" s="155"/>
      <c r="M11" s="155"/>
    </row>
    <row r="12" spans="1:27" s="1" customFormat="1" outlineLevel="1" x14ac:dyDescent="0.25">
      <c r="B12" s="671" t="s">
        <v>1027</v>
      </c>
      <c r="C12" s="921">
        <v>2028</v>
      </c>
      <c r="D12" s="768"/>
      <c r="E12" s="155"/>
      <c r="F12" s="333"/>
      <c r="G12" s="155"/>
      <c r="H12" s="155"/>
      <c r="I12" s="155"/>
      <c r="J12" s="155"/>
      <c r="K12" s="155"/>
      <c r="L12" s="155"/>
      <c r="M12" s="155"/>
    </row>
    <row r="13" spans="1:27" s="1" customFormat="1" outlineLevel="1" x14ac:dyDescent="0.25">
      <c r="B13" s="671" t="s">
        <v>1028</v>
      </c>
      <c r="C13" s="921">
        <v>23</v>
      </c>
      <c r="D13" s="768"/>
      <c r="E13" s="155"/>
      <c r="F13" s="333"/>
      <c r="G13" s="155"/>
      <c r="H13" s="155"/>
      <c r="I13" s="155"/>
      <c r="J13" s="155"/>
      <c r="K13" s="155"/>
      <c r="L13" s="155"/>
      <c r="M13" s="155"/>
    </row>
    <row r="14" spans="1:27" s="1" customFormat="1" outlineLevel="1" x14ac:dyDescent="0.25">
      <c r="B14" s="671" t="s">
        <v>991</v>
      </c>
      <c r="C14" s="439">
        <f>C13+C12-1</f>
        <v>2050</v>
      </c>
      <c r="D14" s="768"/>
      <c r="E14" s="155"/>
      <c r="F14" s="155"/>
      <c r="G14" s="155"/>
      <c r="H14" s="155"/>
      <c r="I14" s="155"/>
      <c r="J14" s="155"/>
      <c r="K14" s="155"/>
      <c r="L14" s="155"/>
      <c r="M14" s="155"/>
    </row>
    <row r="15" spans="1:27" s="1" customFormat="1" outlineLevel="1" x14ac:dyDescent="0.25">
      <c r="B15" s="671" t="s">
        <v>1029</v>
      </c>
      <c r="C15" s="915">
        <v>0.2</v>
      </c>
      <c r="D15" s="769" t="s">
        <v>1030</v>
      </c>
      <c r="F15" s="334"/>
      <c r="G15" s="147"/>
      <c r="I15" s="147"/>
    </row>
    <row r="16" spans="1:27" s="1" customFormat="1" outlineLevel="1" x14ac:dyDescent="0.25">
      <c r="B16" s="671" t="s">
        <v>1031</v>
      </c>
      <c r="C16" s="915">
        <v>0.05</v>
      </c>
      <c r="D16" s="769"/>
      <c r="F16" s="334"/>
      <c r="I16"/>
    </row>
    <row r="17" spans="1:34" s="1" customFormat="1" outlineLevel="1" x14ac:dyDescent="0.25">
      <c r="B17" s="671" t="s">
        <v>1032</v>
      </c>
      <c r="C17" s="921">
        <v>200</v>
      </c>
      <c r="D17" s="769" t="s">
        <v>1033</v>
      </c>
      <c r="E17" s="262"/>
      <c r="F17" s="333"/>
      <c r="I17" s="147"/>
    </row>
    <row r="18" spans="1:34" s="1" customFormat="1" outlineLevel="1" x14ac:dyDescent="0.25">
      <c r="B18" s="671" t="s">
        <v>1034</v>
      </c>
      <c r="C18" s="921">
        <v>78</v>
      </c>
      <c r="D18" s="768" t="s">
        <v>887</v>
      </c>
      <c r="F18" s="155" t="s">
        <v>888</v>
      </c>
    </row>
    <row r="19" spans="1:34" s="1" customFormat="1" outlineLevel="1" x14ac:dyDescent="0.25">
      <c r="B19" s="671" t="s">
        <v>891</v>
      </c>
      <c r="C19" s="921">
        <v>150</v>
      </c>
      <c r="D19" s="768" t="s">
        <v>887</v>
      </c>
      <c r="F19" s="155"/>
    </row>
    <row r="20" spans="1:34" s="1" customFormat="1" outlineLevel="1" x14ac:dyDescent="0.25">
      <c r="B20" s="671" t="s">
        <v>889</v>
      </c>
      <c r="C20" s="919">
        <f>600/11.2</f>
        <v>53.571428571428577</v>
      </c>
      <c r="D20" s="768" t="s">
        <v>887</v>
      </c>
      <c r="F20" s="155" t="s">
        <v>1035</v>
      </c>
    </row>
    <row r="21" spans="1:34" s="1" customFormat="1" x14ac:dyDescent="0.25">
      <c r="B21" s="232"/>
      <c r="C21" s="232"/>
      <c r="D21" s="228"/>
      <c r="E21" s="228"/>
    </row>
    <row r="22" spans="1:34" x14ac:dyDescent="0.25">
      <c r="A22" s="1"/>
      <c r="B22" s="659" t="s">
        <v>895</v>
      </c>
      <c r="C22" s="659"/>
      <c r="D22" s="659"/>
      <c r="E22" s="659"/>
      <c r="F22" s="659"/>
      <c r="G22" s="659"/>
      <c r="H22" s="659"/>
      <c r="I22" s="659"/>
      <c r="J22" s="659"/>
      <c r="K22" s="659"/>
      <c r="L22" s="659"/>
      <c r="M22" s="1"/>
      <c r="N22" s="1"/>
      <c r="O22" s="1"/>
      <c r="P22" s="1"/>
      <c r="Q22" s="1"/>
      <c r="R22" s="1"/>
      <c r="S22" s="1"/>
      <c r="T22" s="1"/>
      <c r="U22" s="1"/>
      <c r="V22" s="1"/>
      <c r="W22" s="1"/>
      <c r="X22" s="1"/>
      <c r="Y22" s="1"/>
      <c r="Z22" s="1"/>
      <c r="AA22" s="1"/>
      <c r="AB22" s="1"/>
      <c r="AC22" s="1"/>
      <c r="AD22" s="1"/>
      <c r="AE22" s="1"/>
      <c r="AF22" s="1"/>
      <c r="AG22" s="1"/>
      <c r="AH22" s="1"/>
    </row>
    <row r="23" spans="1:34" s="1" customFormat="1" ht="9.75" customHeight="1" outlineLevel="1" x14ac:dyDescent="0.25"/>
    <row r="24" spans="1:34" s="1" customFormat="1" outlineLevel="1" x14ac:dyDescent="0.25">
      <c r="B24" s="13" t="s">
        <v>896</v>
      </c>
      <c r="D24" s="234"/>
      <c r="E24" s="284" t="s">
        <v>897</v>
      </c>
    </row>
    <row r="25" spans="1:34" s="1" customFormat="1" ht="15" customHeight="1" outlineLevel="1" x14ac:dyDescent="0.25">
      <c r="B25" s="660" t="s">
        <v>898</v>
      </c>
      <c r="C25" s="665" t="s">
        <v>899</v>
      </c>
      <c r="E25" s="661"/>
      <c r="F25" s="701" t="s">
        <v>900</v>
      </c>
    </row>
    <row r="26" spans="1:34" s="1" customFormat="1" ht="15" customHeight="1" outlineLevel="1" x14ac:dyDescent="0.25">
      <c r="B26" s="663" t="s">
        <v>398</v>
      </c>
      <c r="C26" s="666">
        <v>0</v>
      </c>
      <c r="E26" s="663">
        <v>2030</v>
      </c>
      <c r="F26" s="670">
        <f>G52</f>
        <v>383.42007561436674</v>
      </c>
    </row>
    <row r="27" spans="1:34" s="1" customFormat="1" ht="15" customHeight="1" outlineLevel="1" x14ac:dyDescent="0.25">
      <c r="B27" s="155" t="s">
        <v>399</v>
      </c>
      <c r="C27" s="667">
        <v>0</v>
      </c>
      <c r="E27" s="155">
        <v>2035</v>
      </c>
      <c r="F27" s="428">
        <f>L52</f>
        <v>818.04001890359143</v>
      </c>
    </row>
    <row r="28" spans="1:34" s="1" customFormat="1" ht="15" customHeight="1" outlineLevel="1" x14ac:dyDescent="0.25">
      <c r="B28" s="663" t="s">
        <v>400</v>
      </c>
      <c r="C28" s="666">
        <f>SUM(C45:AA45)/25/1000</f>
        <v>-2.3516541885714286</v>
      </c>
      <c r="D28" s="261"/>
      <c r="E28" s="663">
        <v>2040</v>
      </c>
      <c r="F28" s="670">
        <f>Q52</f>
        <v>1124.8305671077501</v>
      </c>
    </row>
    <row r="29" spans="1:34" s="1" customFormat="1" outlineLevel="1" x14ac:dyDescent="0.25">
      <c r="B29" s="155" t="s">
        <v>401</v>
      </c>
      <c r="C29" s="667">
        <f>SUM(C43:AA43)/25/1000</f>
        <v>0.184</v>
      </c>
      <c r="D29" s="261"/>
      <c r="E29" s="155">
        <v>2045</v>
      </c>
      <c r="F29" s="428">
        <f>V52</f>
        <v>1303.7917202268422</v>
      </c>
    </row>
    <row r="30" spans="1:34" s="1" customFormat="1" ht="15" customHeight="1" outlineLevel="1" x14ac:dyDescent="0.25">
      <c r="B30" s="663" t="s">
        <v>901</v>
      </c>
      <c r="C30" s="670">
        <f>MAX(C52:AQ52)</f>
        <v>1354.9234782608683</v>
      </c>
      <c r="D30" s="261"/>
      <c r="E30" s="663">
        <v>2050</v>
      </c>
      <c r="F30" s="670">
        <f>AA52</f>
        <v>1354.9234782608683</v>
      </c>
    </row>
    <row r="31" spans="1:34" s="1" customFormat="1" ht="15" customHeight="1" outlineLevel="1" x14ac:dyDescent="0.25">
      <c r="B31" s="155" t="s">
        <v>902</v>
      </c>
      <c r="C31" s="428">
        <f>SUM(C50:AA50)</f>
        <v>622.06715999999994</v>
      </c>
      <c r="D31" s="261"/>
      <c r="E31" s="228"/>
    </row>
    <row r="32" spans="1:34" s="1" customFormat="1" outlineLevel="1" x14ac:dyDescent="0.25">
      <c r="B32" s="663" t="s">
        <v>403</v>
      </c>
      <c r="C32" s="670">
        <f>SUM(C45:AU45)*1000/SUM(C52:AU52)</f>
        <v>-1195.2901176027383</v>
      </c>
      <c r="D32" s="261"/>
      <c r="E32" s="228"/>
    </row>
    <row r="33" spans="1:48" s="1" customFormat="1" outlineLevel="1" x14ac:dyDescent="0.25">
      <c r="B33" s="13"/>
      <c r="C33" s="236"/>
    </row>
    <row r="34" spans="1:48" s="1" customFormat="1" outlineLevel="1" x14ac:dyDescent="0.25">
      <c r="B34" s="284" t="s">
        <v>903</v>
      </c>
      <c r="D34" s="43"/>
      <c r="E34" s="7"/>
      <c r="I34" s="277" t="s">
        <v>876</v>
      </c>
    </row>
    <row r="35" spans="1:48" s="1" customFormat="1" outlineLevel="1" x14ac:dyDescent="0.25">
      <c r="A35" s="33"/>
      <c r="B35" s="155" t="s">
        <v>904</v>
      </c>
      <c r="C35" s="307" t="s">
        <v>910</v>
      </c>
      <c r="D35" s="226"/>
      <c r="E35" s="12"/>
      <c r="F35" s="12"/>
      <c r="G35" s="12"/>
      <c r="H35" s="12"/>
      <c r="I35" s="311" t="s">
        <v>474</v>
      </c>
      <c r="J35" s="295" t="s">
        <v>906</v>
      </c>
      <c r="L35" s="273"/>
      <c r="O35" s="239"/>
    </row>
    <row r="36" spans="1:48" s="1" customFormat="1" ht="16.5" customHeight="1" outlineLevel="1" x14ac:dyDescent="0.25">
      <c r="A36" s="33">
        <v>1</v>
      </c>
      <c r="B36" s="155" t="s">
        <v>907</v>
      </c>
      <c r="C36" s="307" t="s">
        <v>910</v>
      </c>
      <c r="D36" s="397">
        <f>IF(C36="Kõrge",3,IF(C36="Mõõdukas",2,1))</f>
        <v>1</v>
      </c>
      <c r="E36" s="155" t="s">
        <v>1036</v>
      </c>
      <c r="F36" s="12"/>
      <c r="G36" s="12"/>
      <c r="H36" s="12"/>
      <c r="I36" s="312" t="s">
        <v>905</v>
      </c>
      <c r="J36" s="295" t="s">
        <v>908</v>
      </c>
      <c r="L36" s="273"/>
      <c r="O36" s="240"/>
    </row>
    <row r="37" spans="1:48" s="1" customFormat="1" ht="16.5" customHeight="1" outlineLevel="1" x14ac:dyDescent="0.25">
      <c r="A37" s="33"/>
      <c r="B37" s="155" t="s">
        <v>909</v>
      </c>
      <c r="C37" s="307" t="s">
        <v>905</v>
      </c>
      <c r="D37" s="397">
        <f>IF(C37="Kõrge",3,IF(C37="Mõõdukas",2,1))</f>
        <v>2</v>
      </c>
      <c r="E37" s="12"/>
      <c r="F37" s="12"/>
      <c r="I37" s="313" t="s">
        <v>910</v>
      </c>
      <c r="J37" s="295" t="s">
        <v>911</v>
      </c>
      <c r="L37" s="233"/>
      <c r="O37" s="237"/>
    </row>
    <row r="38" spans="1:48" s="1" customFormat="1" x14ac:dyDescent="0.25">
      <c r="A38" s="33"/>
      <c r="B38" s="143"/>
      <c r="C38" s="399" t="s">
        <v>912</v>
      </c>
      <c r="D38" s="398">
        <f>D37+D36</f>
        <v>3</v>
      </c>
      <c r="H38" s="233"/>
      <c r="I38" s="233"/>
      <c r="O38" s="239"/>
    </row>
    <row r="39" spans="1:48" x14ac:dyDescent="0.25">
      <c r="A39" s="1"/>
      <c r="B39" s="659" t="s">
        <v>913</v>
      </c>
      <c r="C39" s="659"/>
      <c r="D39" s="659"/>
      <c r="E39" s="659"/>
      <c r="F39" s="659"/>
      <c r="G39" s="659"/>
      <c r="H39" s="659"/>
      <c r="I39" s="659"/>
      <c r="J39" s="659"/>
      <c r="K39" s="659"/>
      <c r="L39" s="659"/>
      <c r="M39" s="659"/>
      <c r="N39" s="659"/>
      <c r="O39" s="659"/>
      <c r="P39" s="659"/>
      <c r="Q39" s="659"/>
      <c r="R39" s="659"/>
      <c r="S39" s="659"/>
      <c r="T39" s="659"/>
      <c r="U39" s="659"/>
      <c r="V39" s="659"/>
      <c r="W39" s="659"/>
      <c r="X39" s="659"/>
      <c r="Y39" s="659"/>
      <c r="Z39" s="659"/>
      <c r="AA39" s="659"/>
      <c r="AB39" s="659"/>
      <c r="AC39" s="659"/>
      <c r="AD39" s="659"/>
      <c r="AE39" s="659"/>
      <c r="AF39" s="659"/>
      <c r="AG39" s="659"/>
      <c r="AH39" s="659"/>
      <c r="AI39" s="659"/>
      <c r="AJ39" s="659"/>
      <c r="AK39" s="659"/>
      <c r="AL39" s="659"/>
      <c r="AM39" s="659"/>
      <c r="AN39" s="659"/>
      <c r="AO39" s="659"/>
      <c r="AP39" s="659"/>
      <c r="AQ39" s="659"/>
      <c r="AR39" s="659"/>
      <c r="AS39" s="659"/>
      <c r="AT39" s="659"/>
      <c r="AU39" s="659"/>
    </row>
    <row r="40" spans="1:48" s="15" customFormat="1" ht="7.5" customHeight="1" outlineLevel="1" x14ac:dyDescent="0.25"/>
    <row r="41" spans="1:48" s="15" customFormat="1" ht="13.5" outlineLevel="1" x14ac:dyDescent="0.25">
      <c r="B41" s="696" t="s">
        <v>914</v>
      </c>
      <c r="C41" s="698">
        <v>2026</v>
      </c>
      <c r="D41" s="698">
        <f>C41+1</f>
        <v>2027</v>
      </c>
      <c r="E41" s="698">
        <f t="shared" ref="E41:AU41" si="0">D41+1</f>
        <v>2028</v>
      </c>
      <c r="F41" s="698">
        <f t="shared" si="0"/>
        <v>2029</v>
      </c>
      <c r="G41" s="698">
        <f t="shared" si="0"/>
        <v>2030</v>
      </c>
      <c r="H41" s="698">
        <f t="shared" si="0"/>
        <v>2031</v>
      </c>
      <c r="I41" s="698">
        <f t="shared" si="0"/>
        <v>2032</v>
      </c>
      <c r="J41" s="698">
        <f t="shared" si="0"/>
        <v>2033</v>
      </c>
      <c r="K41" s="698">
        <f t="shared" si="0"/>
        <v>2034</v>
      </c>
      <c r="L41" s="698">
        <f t="shared" si="0"/>
        <v>2035</v>
      </c>
      <c r="M41" s="698">
        <f t="shared" si="0"/>
        <v>2036</v>
      </c>
      <c r="N41" s="698">
        <f t="shared" si="0"/>
        <v>2037</v>
      </c>
      <c r="O41" s="698">
        <f t="shared" si="0"/>
        <v>2038</v>
      </c>
      <c r="P41" s="698">
        <f t="shared" si="0"/>
        <v>2039</v>
      </c>
      <c r="Q41" s="698">
        <f t="shared" si="0"/>
        <v>2040</v>
      </c>
      <c r="R41" s="698">
        <f t="shared" si="0"/>
        <v>2041</v>
      </c>
      <c r="S41" s="698">
        <f t="shared" si="0"/>
        <v>2042</v>
      </c>
      <c r="T41" s="698">
        <f t="shared" si="0"/>
        <v>2043</v>
      </c>
      <c r="U41" s="698">
        <f t="shared" si="0"/>
        <v>2044</v>
      </c>
      <c r="V41" s="698">
        <f t="shared" si="0"/>
        <v>2045</v>
      </c>
      <c r="W41" s="698">
        <f t="shared" si="0"/>
        <v>2046</v>
      </c>
      <c r="X41" s="698">
        <f t="shared" si="0"/>
        <v>2047</v>
      </c>
      <c r="Y41" s="698">
        <f t="shared" si="0"/>
        <v>2048</v>
      </c>
      <c r="Z41" s="698">
        <f t="shared" si="0"/>
        <v>2049</v>
      </c>
      <c r="AA41" s="698">
        <f t="shared" si="0"/>
        <v>2050</v>
      </c>
      <c r="AB41" s="698">
        <f t="shared" si="0"/>
        <v>2051</v>
      </c>
      <c r="AC41" s="698">
        <f t="shared" si="0"/>
        <v>2052</v>
      </c>
      <c r="AD41" s="698">
        <f t="shared" si="0"/>
        <v>2053</v>
      </c>
      <c r="AE41" s="698">
        <f t="shared" si="0"/>
        <v>2054</v>
      </c>
      <c r="AF41" s="698">
        <f t="shared" si="0"/>
        <v>2055</v>
      </c>
      <c r="AG41" s="698">
        <f t="shared" si="0"/>
        <v>2056</v>
      </c>
      <c r="AH41" s="698">
        <f t="shared" si="0"/>
        <v>2057</v>
      </c>
      <c r="AI41" s="698">
        <f t="shared" si="0"/>
        <v>2058</v>
      </c>
      <c r="AJ41" s="698">
        <f t="shared" si="0"/>
        <v>2059</v>
      </c>
      <c r="AK41" s="698">
        <f t="shared" si="0"/>
        <v>2060</v>
      </c>
      <c r="AL41" s="698">
        <f t="shared" si="0"/>
        <v>2061</v>
      </c>
      <c r="AM41" s="698">
        <f t="shared" si="0"/>
        <v>2062</v>
      </c>
      <c r="AN41" s="698">
        <f t="shared" si="0"/>
        <v>2063</v>
      </c>
      <c r="AO41" s="698">
        <f t="shared" si="0"/>
        <v>2064</v>
      </c>
      <c r="AP41" s="698">
        <f t="shared" si="0"/>
        <v>2065</v>
      </c>
      <c r="AQ41" s="698">
        <f t="shared" si="0"/>
        <v>2066</v>
      </c>
      <c r="AR41" s="698">
        <f t="shared" si="0"/>
        <v>2067</v>
      </c>
      <c r="AS41" s="698">
        <f t="shared" si="0"/>
        <v>2068</v>
      </c>
      <c r="AT41" s="698">
        <f t="shared" si="0"/>
        <v>2069</v>
      </c>
      <c r="AU41" s="699">
        <f t="shared" si="0"/>
        <v>2070</v>
      </c>
    </row>
    <row r="42" spans="1:48" s="66" customFormat="1" ht="13.5" outlineLevel="1" x14ac:dyDescent="0.25">
      <c r="B42" s="764" t="s">
        <v>1037</v>
      </c>
      <c r="C42" s="765">
        <f>IF(AND(C41&gt;$C$12-1,C41&lt;$C$14+1),1,0)</f>
        <v>0</v>
      </c>
      <c r="D42" s="765">
        <f t="shared" ref="D42:L42" si="1">IF(AND(D41&gt;$C$12-1,D41&lt;$C$14+1),1,0)</f>
        <v>0</v>
      </c>
      <c r="E42" s="765">
        <f t="shared" si="1"/>
        <v>1</v>
      </c>
      <c r="F42" s="765">
        <f t="shared" si="1"/>
        <v>1</v>
      </c>
      <c r="G42" s="765">
        <f t="shared" si="1"/>
        <v>1</v>
      </c>
      <c r="H42" s="765">
        <f t="shared" si="1"/>
        <v>1</v>
      </c>
      <c r="I42" s="765">
        <f t="shared" si="1"/>
        <v>1</v>
      </c>
      <c r="J42" s="765">
        <f t="shared" si="1"/>
        <v>1</v>
      </c>
      <c r="K42" s="765">
        <f t="shared" si="1"/>
        <v>1</v>
      </c>
      <c r="L42" s="765">
        <f t="shared" si="1"/>
        <v>1</v>
      </c>
      <c r="M42" s="765">
        <f t="shared" ref="M42" si="2">IF(AND(M41&gt;$C$12-1,M41&lt;$C$14+1),1,0)</f>
        <v>1</v>
      </c>
      <c r="N42" s="765">
        <f t="shared" ref="N42" si="3">IF(AND(N41&gt;$C$12-1,N41&lt;$C$14+1),1,0)</f>
        <v>1</v>
      </c>
      <c r="O42" s="765">
        <f t="shared" ref="O42" si="4">IF(AND(O41&gt;$C$12-1,O41&lt;$C$14+1),1,0)</f>
        <v>1</v>
      </c>
      <c r="P42" s="765">
        <f t="shared" ref="P42" si="5">IF(AND(P41&gt;$C$12-1,P41&lt;$C$14+1),1,0)</f>
        <v>1</v>
      </c>
      <c r="Q42" s="765">
        <f t="shared" ref="Q42" si="6">IF(AND(Q41&gt;$C$12-1,Q41&lt;$C$14+1),1,0)</f>
        <v>1</v>
      </c>
      <c r="R42" s="765">
        <f t="shared" ref="R42" si="7">IF(AND(R41&gt;$C$12-1,R41&lt;$C$14+1),1,0)</f>
        <v>1</v>
      </c>
      <c r="S42" s="765">
        <f t="shared" ref="S42" si="8">IF(AND(S41&gt;$C$12-1,S41&lt;$C$14+1),1,0)</f>
        <v>1</v>
      </c>
      <c r="T42" s="765">
        <f t="shared" ref="T42:U42" si="9">IF(AND(T41&gt;$C$12-1,T41&lt;$C$14+1),1,0)</f>
        <v>1</v>
      </c>
      <c r="U42" s="765">
        <f t="shared" si="9"/>
        <v>1</v>
      </c>
      <c r="V42" s="765">
        <f t="shared" ref="V42" si="10">IF(AND(V41&gt;$C$12-1,V41&lt;$C$14+1),1,0)</f>
        <v>1</v>
      </c>
      <c r="W42" s="765">
        <f t="shared" ref="W42" si="11">IF(AND(W41&gt;$C$12-1,W41&lt;$C$14+1),1,0)</f>
        <v>1</v>
      </c>
      <c r="X42" s="765">
        <f t="shared" ref="X42" si="12">IF(AND(X41&gt;$C$12-1,X41&lt;$C$14+1),1,0)</f>
        <v>1</v>
      </c>
      <c r="Y42" s="765">
        <f t="shared" ref="Y42" si="13">IF(AND(Y41&gt;$C$12-1,Y41&lt;$C$14+1),1,0)</f>
        <v>1</v>
      </c>
      <c r="Z42" s="765">
        <f t="shared" ref="Z42" si="14">IF(AND(Z41&gt;$C$12-1,Z41&lt;$C$14+1),1,0)</f>
        <v>1</v>
      </c>
      <c r="AA42" s="765">
        <f t="shared" ref="AA42" si="15">IF(AND(AA41&gt;$C$12-1,AA41&lt;$C$14+1),1,0)</f>
        <v>1</v>
      </c>
      <c r="AB42" s="765">
        <f t="shared" ref="AB42" si="16">IF(AND(AB41&gt;$C$12-1,AB41&lt;$C$14+1),1,0)</f>
        <v>0</v>
      </c>
      <c r="AC42" s="765">
        <f t="shared" ref="AC42:AD42" si="17">IF(AND(AC41&gt;$C$12-1,AC41&lt;$C$14+1),1,0)</f>
        <v>0</v>
      </c>
      <c r="AD42" s="765">
        <f t="shared" si="17"/>
        <v>0</v>
      </c>
      <c r="AE42" s="765">
        <f>IF(AND(AE41&gt;$C$12-1,AE41&lt;$C$14+1),1,0)</f>
        <v>0</v>
      </c>
      <c r="AF42" s="765">
        <f t="shared" ref="AF42" si="18">IF(AND(AF41&gt;$C$12-1,AF41&lt;$C$14+1),1,0)</f>
        <v>0</v>
      </c>
      <c r="AG42" s="765">
        <f t="shared" ref="AG42" si="19">IF(AND(AG41&gt;$C$12-1,AG41&lt;$C$14+1),1,0)</f>
        <v>0</v>
      </c>
      <c r="AH42" s="765">
        <f t="shared" ref="AH42" si="20">IF(AND(AH41&gt;$C$12-1,AH41&lt;$C$14+1),1,0)</f>
        <v>0</v>
      </c>
      <c r="AI42" s="765">
        <f t="shared" ref="AI42" si="21">IF(AND(AI41&gt;$C$12-1,AI41&lt;$C$14+1),1,0)</f>
        <v>0</v>
      </c>
      <c r="AJ42" s="765">
        <f t="shared" ref="AJ42" si="22">IF(AND(AJ41&gt;$C$12-1,AJ41&lt;$C$14+1),1,0)</f>
        <v>0</v>
      </c>
      <c r="AK42" s="765">
        <f t="shared" ref="AK42" si="23">IF(AND(AK41&gt;$C$12-1,AK41&lt;$C$14+1),1,0)</f>
        <v>0</v>
      </c>
      <c r="AL42" s="765">
        <f t="shared" ref="AL42" si="24">IF(AND(AL41&gt;$C$12-1,AL41&lt;$C$14+1),1,0)</f>
        <v>0</v>
      </c>
      <c r="AM42" s="765">
        <f t="shared" ref="AM42" si="25">IF(AND(AM41&gt;$C$12-1,AM41&lt;$C$14+1),1,0)</f>
        <v>0</v>
      </c>
      <c r="AN42" s="765">
        <f t="shared" ref="AN42" si="26">IF(AND(AN41&gt;$C$12-1,AN41&lt;$C$14+1),1,0)</f>
        <v>0</v>
      </c>
      <c r="AO42" s="765">
        <f t="shared" ref="AO42" si="27">IF(AND(AO41&gt;$C$12-1,AO41&lt;$C$14+1),1,0)</f>
        <v>0</v>
      </c>
      <c r="AP42" s="765">
        <f t="shared" ref="AP42" si="28">IF(AND(AP41&gt;$C$12-1,AP41&lt;$C$14+1),1,0)</f>
        <v>0</v>
      </c>
      <c r="AQ42" s="765">
        <f t="shared" ref="AQ42" si="29">IF(AND(AQ41&gt;$C$12-1,AQ41&lt;$C$14+1),1,0)</f>
        <v>0</v>
      </c>
      <c r="AR42" s="765">
        <f t="shared" ref="AR42" si="30">IF(AND(AR41&gt;$C$12-1,AR41&lt;$C$14+1),1,0)</f>
        <v>0</v>
      </c>
      <c r="AS42" s="765">
        <f t="shared" ref="AS42" si="31">IF(AND(AS41&gt;$C$12-1,AS41&lt;$C$14+1),1,0)</f>
        <v>0</v>
      </c>
      <c r="AT42" s="765">
        <f t="shared" ref="AT42" si="32">IF(AND(AT41&gt;$C$12-1,AT41&lt;$C$14+1),1,0)</f>
        <v>0</v>
      </c>
      <c r="AU42" s="766">
        <f t="shared" ref="AU42" si="33">IF(AND(AU41&gt;$C$12-1,AU41&lt;$C$14+1),1,0)</f>
        <v>0</v>
      </c>
    </row>
    <row r="43" spans="1:48" s="39" customFormat="1" ht="13.5" outlineLevel="1" x14ac:dyDescent="0.25">
      <c r="B43" s="723" t="s">
        <v>1038</v>
      </c>
      <c r="C43" s="724">
        <f t="shared" ref="C43:AU43" si="34">C42*$C$17</f>
        <v>0</v>
      </c>
      <c r="D43" s="724">
        <f t="shared" si="34"/>
        <v>0</v>
      </c>
      <c r="E43" s="724">
        <f t="shared" si="34"/>
        <v>200</v>
      </c>
      <c r="F43" s="724">
        <f t="shared" si="34"/>
        <v>200</v>
      </c>
      <c r="G43" s="724">
        <f t="shared" si="34"/>
        <v>200</v>
      </c>
      <c r="H43" s="724">
        <f t="shared" si="34"/>
        <v>200</v>
      </c>
      <c r="I43" s="724">
        <f t="shared" si="34"/>
        <v>200</v>
      </c>
      <c r="J43" s="724">
        <f t="shared" si="34"/>
        <v>200</v>
      </c>
      <c r="K43" s="724">
        <f t="shared" si="34"/>
        <v>200</v>
      </c>
      <c r="L43" s="724">
        <f t="shared" si="34"/>
        <v>200</v>
      </c>
      <c r="M43" s="724">
        <f t="shared" si="34"/>
        <v>200</v>
      </c>
      <c r="N43" s="724">
        <f t="shared" si="34"/>
        <v>200</v>
      </c>
      <c r="O43" s="724">
        <f t="shared" si="34"/>
        <v>200</v>
      </c>
      <c r="P43" s="724">
        <f t="shared" si="34"/>
        <v>200</v>
      </c>
      <c r="Q43" s="724">
        <f t="shared" si="34"/>
        <v>200</v>
      </c>
      <c r="R43" s="724">
        <f t="shared" si="34"/>
        <v>200</v>
      </c>
      <c r="S43" s="724">
        <f t="shared" si="34"/>
        <v>200</v>
      </c>
      <c r="T43" s="724">
        <f t="shared" si="34"/>
        <v>200</v>
      </c>
      <c r="U43" s="724">
        <f t="shared" si="34"/>
        <v>200</v>
      </c>
      <c r="V43" s="724">
        <f t="shared" si="34"/>
        <v>200</v>
      </c>
      <c r="W43" s="724">
        <f t="shared" si="34"/>
        <v>200</v>
      </c>
      <c r="X43" s="724">
        <f t="shared" si="34"/>
        <v>200</v>
      </c>
      <c r="Y43" s="724">
        <f t="shared" si="34"/>
        <v>200</v>
      </c>
      <c r="Z43" s="724">
        <f t="shared" si="34"/>
        <v>200</v>
      </c>
      <c r="AA43" s="724">
        <f t="shared" si="34"/>
        <v>200</v>
      </c>
      <c r="AB43" s="724">
        <f t="shared" si="34"/>
        <v>0</v>
      </c>
      <c r="AC43" s="724">
        <f t="shared" si="34"/>
        <v>0</v>
      </c>
      <c r="AD43" s="724">
        <f t="shared" si="34"/>
        <v>0</v>
      </c>
      <c r="AE43" s="724">
        <f t="shared" si="34"/>
        <v>0</v>
      </c>
      <c r="AF43" s="724">
        <f t="shared" si="34"/>
        <v>0</v>
      </c>
      <c r="AG43" s="724">
        <f t="shared" si="34"/>
        <v>0</v>
      </c>
      <c r="AH43" s="724">
        <f t="shared" si="34"/>
        <v>0</v>
      </c>
      <c r="AI43" s="724">
        <f t="shared" si="34"/>
        <v>0</v>
      </c>
      <c r="AJ43" s="724">
        <f t="shared" si="34"/>
        <v>0</v>
      </c>
      <c r="AK43" s="724">
        <f t="shared" si="34"/>
        <v>0</v>
      </c>
      <c r="AL43" s="724">
        <f t="shared" si="34"/>
        <v>0</v>
      </c>
      <c r="AM43" s="724">
        <f t="shared" si="34"/>
        <v>0</v>
      </c>
      <c r="AN43" s="724">
        <f t="shared" si="34"/>
        <v>0</v>
      </c>
      <c r="AO43" s="724">
        <f t="shared" si="34"/>
        <v>0</v>
      </c>
      <c r="AP43" s="724">
        <f t="shared" si="34"/>
        <v>0</v>
      </c>
      <c r="AQ43" s="724">
        <f t="shared" si="34"/>
        <v>0</v>
      </c>
      <c r="AR43" s="724">
        <f t="shared" si="34"/>
        <v>0</v>
      </c>
      <c r="AS43" s="724">
        <f t="shared" si="34"/>
        <v>0</v>
      </c>
      <c r="AT43" s="724">
        <f t="shared" si="34"/>
        <v>0</v>
      </c>
      <c r="AU43" s="725">
        <f t="shared" si="34"/>
        <v>0</v>
      </c>
      <c r="AV43" s="41"/>
    </row>
    <row r="44" spans="1:48" s="15" customFormat="1" ht="13.5" outlineLevel="1" x14ac:dyDescent="0.25">
      <c r="B44" s="431" t="s">
        <v>1039</v>
      </c>
      <c r="C44" s="717">
        <f>-SUMPRODUCT(C47:C49,$C$18:$C$20)</f>
        <v>0</v>
      </c>
      <c r="D44" s="717">
        <f t="shared" ref="D44:F44" si="35">-SUMPRODUCT(D47:D49,$C$18:$C$20)</f>
        <v>0</v>
      </c>
      <c r="E44" s="717">
        <f t="shared" si="35"/>
        <v>-229.67882142857144</v>
      </c>
      <c r="F44" s="717">
        <f t="shared" si="35"/>
        <v>-459.35764285714288</v>
      </c>
      <c r="G44" s="717">
        <f t="shared" ref="G44:AU44" si="36">-SUMPRODUCT(G47:G49,$C$18:$C$20)</f>
        <v>-689.03646428571415</v>
      </c>
      <c r="H44" s="717">
        <f t="shared" si="36"/>
        <v>-918.71528571428576</v>
      </c>
      <c r="I44" s="717">
        <f t="shared" si="36"/>
        <v>-1148.3941071428569</v>
      </c>
      <c r="J44" s="717">
        <f t="shared" si="36"/>
        <v>-1378.0729285714283</v>
      </c>
      <c r="K44" s="717">
        <f t="shared" si="36"/>
        <v>-1607.7517499999999</v>
      </c>
      <c r="L44" s="717">
        <f t="shared" si="36"/>
        <v>-1837.4305714285715</v>
      </c>
      <c r="M44" s="717">
        <f t="shared" si="36"/>
        <v>-2067.1093928571427</v>
      </c>
      <c r="N44" s="717">
        <f t="shared" si="36"/>
        <v>-2296.7882142857138</v>
      </c>
      <c r="O44" s="717">
        <f t="shared" si="36"/>
        <v>-2526.4670357142854</v>
      </c>
      <c r="P44" s="717">
        <f t="shared" si="36"/>
        <v>-2756.1458571428566</v>
      </c>
      <c r="Q44" s="717">
        <f t="shared" si="36"/>
        <v>-2985.8246785714282</v>
      </c>
      <c r="R44" s="717">
        <f t="shared" si="36"/>
        <v>-3215.5034999999998</v>
      </c>
      <c r="S44" s="717">
        <f t="shared" si="36"/>
        <v>-3445.1823214285714</v>
      </c>
      <c r="T44" s="717">
        <f t="shared" si="36"/>
        <v>-3674.861142857143</v>
      </c>
      <c r="U44" s="717">
        <f t="shared" si="36"/>
        <v>-3904.5399642857146</v>
      </c>
      <c r="V44" s="717">
        <f t="shared" si="36"/>
        <v>-4134.2187857142853</v>
      </c>
      <c r="W44" s="717">
        <f t="shared" si="36"/>
        <v>-4363.8976071428569</v>
      </c>
      <c r="X44" s="717">
        <f t="shared" si="36"/>
        <v>-4593.5764285714276</v>
      </c>
      <c r="Y44" s="717">
        <f t="shared" si="36"/>
        <v>-4823.2552500000002</v>
      </c>
      <c r="Z44" s="717">
        <f t="shared" si="36"/>
        <v>-5052.9340714285709</v>
      </c>
      <c r="AA44" s="717">
        <f t="shared" si="36"/>
        <v>-5282.6128928571425</v>
      </c>
      <c r="AB44" s="717">
        <f t="shared" si="36"/>
        <v>0</v>
      </c>
      <c r="AC44" s="717">
        <f t="shared" si="36"/>
        <v>0</v>
      </c>
      <c r="AD44" s="717">
        <f t="shared" si="36"/>
        <v>0</v>
      </c>
      <c r="AE44" s="717">
        <f t="shared" si="36"/>
        <v>0</v>
      </c>
      <c r="AF44" s="717">
        <f t="shared" si="36"/>
        <v>0</v>
      </c>
      <c r="AG44" s="717">
        <f t="shared" si="36"/>
        <v>0</v>
      </c>
      <c r="AH44" s="717">
        <f t="shared" si="36"/>
        <v>0</v>
      </c>
      <c r="AI44" s="717">
        <f t="shared" si="36"/>
        <v>0</v>
      </c>
      <c r="AJ44" s="717">
        <f t="shared" si="36"/>
        <v>0</v>
      </c>
      <c r="AK44" s="717">
        <f t="shared" si="36"/>
        <v>0</v>
      </c>
      <c r="AL44" s="717">
        <f t="shared" si="36"/>
        <v>0</v>
      </c>
      <c r="AM44" s="717">
        <f t="shared" si="36"/>
        <v>0</v>
      </c>
      <c r="AN44" s="717">
        <f t="shared" si="36"/>
        <v>0</v>
      </c>
      <c r="AO44" s="717">
        <f t="shared" si="36"/>
        <v>0</v>
      </c>
      <c r="AP44" s="717">
        <f t="shared" si="36"/>
        <v>0</v>
      </c>
      <c r="AQ44" s="717">
        <f t="shared" si="36"/>
        <v>0</v>
      </c>
      <c r="AR44" s="717">
        <f t="shared" si="36"/>
        <v>0</v>
      </c>
      <c r="AS44" s="717">
        <f t="shared" si="36"/>
        <v>0</v>
      </c>
      <c r="AT44" s="717">
        <f t="shared" si="36"/>
        <v>0</v>
      </c>
      <c r="AU44" s="718">
        <f t="shared" si="36"/>
        <v>0</v>
      </c>
    </row>
    <row r="45" spans="1:48" s="39" customFormat="1" ht="13.5" outlineLevel="1" x14ac:dyDescent="0.25">
      <c r="B45" s="696" t="s">
        <v>1040</v>
      </c>
      <c r="C45" s="729">
        <f>C43+C44</f>
        <v>0</v>
      </c>
      <c r="D45" s="729">
        <f t="shared" ref="D45:F45" si="37">D43+D44</f>
        <v>0</v>
      </c>
      <c r="E45" s="729">
        <f t="shared" si="37"/>
        <v>-29.678821428571439</v>
      </c>
      <c r="F45" s="729">
        <f t="shared" si="37"/>
        <v>-259.35764285714288</v>
      </c>
      <c r="G45" s="729">
        <f t="shared" ref="G45" si="38">G43+G44</f>
        <v>-489.03646428571415</v>
      </c>
      <c r="H45" s="729">
        <f t="shared" ref="H45:I45" si="39">H43+H44</f>
        <v>-718.71528571428576</v>
      </c>
      <c r="I45" s="729">
        <f t="shared" si="39"/>
        <v>-948.39410714285691</v>
      </c>
      <c r="J45" s="729">
        <f t="shared" ref="J45" si="40">J43+J44</f>
        <v>-1178.0729285714283</v>
      </c>
      <c r="K45" s="729">
        <f t="shared" ref="K45:L45" si="41">K43+K44</f>
        <v>-1407.7517499999999</v>
      </c>
      <c r="L45" s="729">
        <f t="shared" si="41"/>
        <v>-1637.4305714285715</v>
      </c>
      <c r="M45" s="729">
        <f t="shared" ref="M45" si="42">M43+M44</f>
        <v>-1867.1093928571427</v>
      </c>
      <c r="N45" s="729">
        <f t="shared" ref="N45:O45" si="43">N43+N44</f>
        <v>-2096.7882142857138</v>
      </c>
      <c r="O45" s="729">
        <f t="shared" si="43"/>
        <v>-2326.4670357142854</v>
      </c>
      <c r="P45" s="729">
        <f t="shared" ref="P45" si="44">P43+P44</f>
        <v>-2556.1458571428566</v>
      </c>
      <c r="Q45" s="729">
        <f t="shared" ref="Q45:R45" si="45">Q43+Q44</f>
        <v>-2785.8246785714282</v>
      </c>
      <c r="R45" s="729">
        <f t="shared" si="45"/>
        <v>-3015.5034999999998</v>
      </c>
      <c r="S45" s="729">
        <f t="shared" ref="S45" si="46">S43+S44</f>
        <v>-3245.1823214285714</v>
      </c>
      <c r="T45" s="729">
        <f t="shared" ref="T45:U45" si="47">T43+T44</f>
        <v>-3474.861142857143</v>
      </c>
      <c r="U45" s="729">
        <f t="shared" si="47"/>
        <v>-3704.5399642857146</v>
      </c>
      <c r="V45" s="729">
        <f t="shared" ref="V45" si="48">V43+V44</f>
        <v>-3934.2187857142853</v>
      </c>
      <c r="W45" s="729">
        <f t="shared" ref="W45:X45" si="49">W43+W44</f>
        <v>-4163.8976071428569</v>
      </c>
      <c r="X45" s="729">
        <f t="shared" si="49"/>
        <v>-4393.5764285714276</v>
      </c>
      <c r="Y45" s="729">
        <f t="shared" ref="Y45" si="50">Y43+Y44</f>
        <v>-4623.2552500000002</v>
      </c>
      <c r="Z45" s="729">
        <f t="shared" ref="Z45:AA45" si="51">Z43+Z44</f>
        <v>-4852.9340714285709</v>
      </c>
      <c r="AA45" s="729">
        <f t="shared" si="51"/>
        <v>-5082.6128928571425</v>
      </c>
      <c r="AB45" s="729">
        <f t="shared" ref="AB45" si="52">AB43+AB44</f>
        <v>0</v>
      </c>
      <c r="AC45" s="729">
        <f t="shared" ref="AC45:AD45" si="53">AC43+AC44</f>
        <v>0</v>
      </c>
      <c r="AD45" s="729">
        <f t="shared" si="53"/>
        <v>0</v>
      </c>
      <c r="AE45" s="729">
        <f t="shared" ref="AE45" si="54">AE43+AE44</f>
        <v>0</v>
      </c>
      <c r="AF45" s="729">
        <f t="shared" ref="AF45:AG45" si="55">AF43+AF44</f>
        <v>0</v>
      </c>
      <c r="AG45" s="729">
        <f t="shared" si="55"/>
        <v>0</v>
      </c>
      <c r="AH45" s="729">
        <f t="shared" ref="AH45" si="56">AH43+AH44</f>
        <v>0</v>
      </c>
      <c r="AI45" s="729">
        <f t="shared" ref="AI45:AJ45" si="57">AI43+AI44</f>
        <v>0</v>
      </c>
      <c r="AJ45" s="729">
        <f t="shared" si="57"/>
        <v>0</v>
      </c>
      <c r="AK45" s="729">
        <f t="shared" ref="AK45" si="58">AK43+AK44</f>
        <v>0</v>
      </c>
      <c r="AL45" s="729">
        <f t="shared" ref="AL45:AM45" si="59">AL43+AL44</f>
        <v>0</v>
      </c>
      <c r="AM45" s="729">
        <f t="shared" si="59"/>
        <v>0</v>
      </c>
      <c r="AN45" s="729">
        <f t="shared" ref="AN45" si="60">AN43+AN44</f>
        <v>0</v>
      </c>
      <c r="AO45" s="729">
        <f t="shared" ref="AO45:AP45" si="61">AO43+AO44</f>
        <v>0</v>
      </c>
      <c r="AP45" s="729">
        <f t="shared" si="61"/>
        <v>0</v>
      </c>
      <c r="AQ45" s="729">
        <f t="shared" ref="AQ45" si="62">AQ43+AQ44</f>
        <v>0</v>
      </c>
      <c r="AR45" s="729">
        <f t="shared" ref="AR45:AS45" si="63">AR43+AR44</f>
        <v>0</v>
      </c>
      <c r="AS45" s="729">
        <f t="shared" si="63"/>
        <v>0</v>
      </c>
      <c r="AT45" s="729">
        <f t="shared" ref="AT45" si="64">AT43+AT44</f>
        <v>0</v>
      </c>
      <c r="AU45" s="747">
        <f t="shared" ref="AU45" si="65">AU43+AU44</f>
        <v>0</v>
      </c>
      <c r="AV45" s="41"/>
    </row>
    <row r="46" spans="1:48" s="15" customFormat="1" ht="13.5" outlineLevel="1" x14ac:dyDescent="0.25">
      <c r="B46" s="715" t="s">
        <v>1041</v>
      </c>
      <c r="C46" s="744"/>
      <c r="D46" s="744"/>
      <c r="E46" s="744"/>
      <c r="F46" s="744"/>
      <c r="G46" s="744"/>
      <c r="H46" s="744"/>
      <c r="I46" s="744"/>
      <c r="J46" s="744"/>
      <c r="K46" s="744"/>
      <c r="L46" s="744"/>
      <c r="M46" s="744"/>
      <c r="N46" s="744"/>
      <c r="O46" s="744"/>
      <c r="P46" s="744"/>
      <c r="Q46" s="744"/>
      <c r="R46" s="744"/>
      <c r="S46" s="744"/>
      <c r="T46" s="744"/>
      <c r="U46" s="744"/>
      <c r="V46" s="744"/>
      <c r="W46" s="744"/>
      <c r="X46" s="744"/>
      <c r="Y46" s="744"/>
      <c r="Z46" s="744"/>
      <c r="AA46" s="744"/>
      <c r="AB46" s="744"/>
      <c r="AC46" s="744"/>
      <c r="AD46" s="744"/>
      <c r="AE46" s="744"/>
      <c r="AF46" s="744"/>
      <c r="AG46" s="744"/>
      <c r="AH46" s="744"/>
      <c r="AI46" s="744"/>
      <c r="AJ46" s="744"/>
      <c r="AK46" s="744"/>
      <c r="AL46" s="744"/>
      <c r="AM46" s="744"/>
      <c r="AN46" s="744"/>
      <c r="AO46" s="744"/>
      <c r="AP46" s="744"/>
      <c r="AQ46" s="744"/>
      <c r="AR46" s="744"/>
      <c r="AS46" s="744"/>
      <c r="AT46" s="744"/>
      <c r="AU46" s="745"/>
    </row>
    <row r="47" spans="1:48" s="15" customFormat="1" ht="13.5" outlineLevel="1" x14ac:dyDescent="0.25">
      <c r="B47" s="722" t="s">
        <v>485</v>
      </c>
      <c r="C47" s="744">
        <f>$C$8*'HO10,13'!$C$15*'HO10,13'!$C$16/'HO10,13'!$C$13*C$42*SUM($C$42:C42)</f>
        <v>0</v>
      </c>
      <c r="D47" s="744">
        <f>$C$8*'HO10,13'!$C$15*'HO10,13'!$C$16/'HO10,13'!$C$13*D$42*SUM($C$42:D42)</f>
        <v>0</v>
      </c>
      <c r="E47" s="744">
        <f>$C$8*'HO10,13'!$C$15*'HO10,13'!$C$16/'HO10,13'!$C$13*E$42*SUM($C$42:E42)</f>
        <v>0.71486956521739131</v>
      </c>
      <c r="F47" s="744">
        <f>$C$8*'HO10,13'!$C$15*'HO10,13'!$C$16/'HO10,13'!$C$13*F$42*SUM($C$42:F42)</f>
        <v>1.4297391304347826</v>
      </c>
      <c r="G47" s="744">
        <f>$C$8*'HO10,13'!$C$15*'HO10,13'!$C$16/'HO10,13'!$C$13*G$42*SUM($C$42:G42)</f>
        <v>2.1446086956521739</v>
      </c>
      <c r="H47" s="744">
        <f>$C$8*'HO10,13'!$C$15*'HO10,13'!$C$16/'HO10,13'!$C$13*H$42*SUM($C$42:H42)</f>
        <v>2.8594782608695652</v>
      </c>
      <c r="I47" s="744">
        <f>$C$8*'HO10,13'!$C$15*'HO10,13'!$C$16/'HO10,13'!$C$13*I$42*SUM($C$42:I42)</f>
        <v>3.5743478260869566</v>
      </c>
      <c r="J47" s="744">
        <f>$C$8*'HO10,13'!$C$15*'HO10,13'!$C$16/'HO10,13'!$C$13*J$42*SUM($C$42:J42)</f>
        <v>4.2892173913043479</v>
      </c>
      <c r="K47" s="744">
        <f>$C$8*'HO10,13'!$C$15*'HO10,13'!$C$16/'HO10,13'!$C$13*K$42*SUM($C$42:K42)</f>
        <v>5.0040869565217392</v>
      </c>
      <c r="L47" s="744">
        <f>$C$8*'HO10,13'!$C$15*'HO10,13'!$C$16/'HO10,13'!$C$13*L$42*SUM($C$42:L42)</f>
        <v>5.7189565217391305</v>
      </c>
      <c r="M47" s="744">
        <f>$C$8*'HO10,13'!$C$15*'HO10,13'!$C$16/'HO10,13'!$C$13*M$42*SUM($C$42:M42)</f>
        <v>6.4338260869565218</v>
      </c>
      <c r="N47" s="744">
        <f>$C$8*'HO10,13'!$C$15*'HO10,13'!$C$16/'HO10,13'!$C$13*N$42*SUM($C$42:N42)</f>
        <v>7.1486956521739131</v>
      </c>
      <c r="O47" s="744">
        <f>$C$8*'HO10,13'!$C$15*'HO10,13'!$C$16/'HO10,13'!$C$13*O$42*SUM($C$42:O42)</f>
        <v>7.8635652173913044</v>
      </c>
      <c r="P47" s="744">
        <f>$C$8*'HO10,13'!$C$15*'HO10,13'!$C$16/'HO10,13'!$C$13*P$42*SUM($C$42:P42)</f>
        <v>8.5784347826086957</v>
      </c>
      <c r="Q47" s="744">
        <f>$C$8*'HO10,13'!$C$15*'HO10,13'!$C$16/'HO10,13'!$C$13*Q$42*SUM($C$42:Q42)</f>
        <v>9.2933043478260871</v>
      </c>
      <c r="R47" s="744">
        <f>$C$8*'HO10,13'!$C$15*'HO10,13'!$C$16/'HO10,13'!$C$13*R$42*SUM($C$42:R42)</f>
        <v>10.008173913043478</v>
      </c>
      <c r="S47" s="744">
        <f>$C$8*'HO10,13'!$C$15*'HO10,13'!$C$16/'HO10,13'!$C$13*S$42*SUM($C$42:S42)</f>
        <v>10.72304347826087</v>
      </c>
      <c r="T47" s="744">
        <f>$C$8*'HO10,13'!$C$15*'HO10,13'!$C$16/'HO10,13'!$C$13*T$42*SUM($C$42:T42)</f>
        <v>11.437913043478261</v>
      </c>
      <c r="U47" s="744">
        <f>$C$8*'HO10,13'!$C$15*'HO10,13'!$C$16/'HO10,13'!$C$13*U$42*SUM($C$42:U42)</f>
        <v>12.152782608695652</v>
      </c>
      <c r="V47" s="744">
        <f>$C$8*'HO10,13'!$C$15*'HO10,13'!$C$16/'HO10,13'!$C$13*V$42*SUM($C$42:V42)</f>
        <v>12.867652173913044</v>
      </c>
      <c r="W47" s="744">
        <f>$C$8*'HO10,13'!$C$15*'HO10,13'!$C$16/'HO10,13'!$C$13*W$42*SUM($C$42:W42)</f>
        <v>13.582521739130435</v>
      </c>
      <c r="X47" s="744">
        <f>$C$8*'HO10,13'!$C$15*'HO10,13'!$C$16/'HO10,13'!$C$13*X$42*SUM($C$42:X42)</f>
        <v>14.297391304347826</v>
      </c>
      <c r="Y47" s="744">
        <f>$C$8*'HO10,13'!$C$15*'HO10,13'!$C$16/'HO10,13'!$C$13*Y$42*SUM($C$42:Y42)</f>
        <v>15.012260869565218</v>
      </c>
      <c r="Z47" s="744">
        <f>$C$8*'HO10,13'!$C$15*'HO10,13'!$C$16/'HO10,13'!$C$13*Z$42*SUM($C$42:Z42)</f>
        <v>15.727130434782609</v>
      </c>
      <c r="AA47" s="744">
        <f>$C$8*'HO10,13'!$C$15*'HO10,13'!$C$16/'HO10,13'!$C$13*AA$42*SUM($C$42:AA42)</f>
        <v>16.442</v>
      </c>
      <c r="AB47" s="744">
        <f>$C$8*'HO10,13'!$C$15*'HO10,13'!$C$16/'HO10,13'!$C$13*AB$42*SUM($C$42:AB42)</f>
        <v>0</v>
      </c>
      <c r="AC47" s="744">
        <f>$C$8*'HO10,13'!$C$15*'HO10,13'!$C$16/'HO10,13'!$C$13*AC$42*SUM($C$42:AC42)</f>
        <v>0</v>
      </c>
      <c r="AD47" s="744">
        <f>$C$8*'HO10,13'!$C$15*'HO10,13'!$C$16/'HO10,13'!$C$13*AD$42*SUM($C$42:AD42)</f>
        <v>0</v>
      </c>
      <c r="AE47" s="744">
        <f>$C$8*'HO10,13'!$C$15*'HO10,13'!$C$16/'HO10,13'!$C$13*AE$42*SUM($C$42:AE42)</f>
        <v>0</v>
      </c>
      <c r="AF47" s="744">
        <f>$C$8*'HO10,13'!$C$15*'HO10,13'!$C$16/'HO10,13'!$C$13*AF$42*SUM($C$42:AF42)</f>
        <v>0</v>
      </c>
      <c r="AG47" s="744">
        <f>$C$8*'HO10,13'!$C$15*'HO10,13'!$C$16/'HO10,13'!$C$13*AG$42*SUM($C$42:AG42)</f>
        <v>0</v>
      </c>
      <c r="AH47" s="744">
        <f>$C$8*'HO10,13'!$C$15*'HO10,13'!$C$16/'HO10,13'!$C$13*AH$42*SUM($C$42:AH42)</f>
        <v>0</v>
      </c>
      <c r="AI47" s="744">
        <f>$C$8*'HO10,13'!$C$15*'HO10,13'!$C$16/'HO10,13'!$C$13*AI$42*SUM($C$42:AI42)</f>
        <v>0</v>
      </c>
      <c r="AJ47" s="744">
        <f>$C$8*'HO10,13'!$C$15*'HO10,13'!$C$16/'HO10,13'!$C$13*AJ$42*SUM($C$42:AJ42)</f>
        <v>0</v>
      </c>
      <c r="AK47" s="744">
        <f>$C$8*'HO10,13'!$C$15*'HO10,13'!$C$16/'HO10,13'!$C$13*AK$42*SUM($C$42:AK42)</f>
        <v>0</v>
      </c>
      <c r="AL47" s="744">
        <f>$C$8*'HO10,13'!$C$15*'HO10,13'!$C$16/'HO10,13'!$C$13*AL$42*SUM($C$42:AL42)</f>
        <v>0</v>
      </c>
      <c r="AM47" s="744">
        <f>$C$8*'HO10,13'!$C$15*'HO10,13'!$C$16/'HO10,13'!$C$13*AM$42*SUM($C$42:AM42)</f>
        <v>0</v>
      </c>
      <c r="AN47" s="744">
        <f>$C$8*'HO10,13'!$C$15*'HO10,13'!$C$16/'HO10,13'!$C$13*AN$42*SUM($C$42:AN42)</f>
        <v>0</v>
      </c>
      <c r="AO47" s="744">
        <f>$C$8*'HO10,13'!$C$15*'HO10,13'!$C$16/'HO10,13'!$C$13*AO$42*SUM($C$42:AO42)</f>
        <v>0</v>
      </c>
      <c r="AP47" s="744">
        <f>$C$8*'HO10,13'!$C$15*'HO10,13'!$C$16/'HO10,13'!$C$13*AP$42*SUM($C$42:AP42)</f>
        <v>0</v>
      </c>
      <c r="AQ47" s="744">
        <f>$C$8*'HO10,13'!$C$15*'HO10,13'!$C$16/'HO10,13'!$C$13*AQ$42*SUM($C$42:AQ42)</f>
        <v>0</v>
      </c>
      <c r="AR47" s="744">
        <f>$C$8*'HO10,13'!$C$15*'HO10,13'!$C$16/'HO10,13'!$C$13*AR$42*SUM($C$42:AR42)</f>
        <v>0</v>
      </c>
      <c r="AS47" s="744">
        <f>$C$8*'HO10,13'!$C$15*'HO10,13'!$C$16/'HO10,13'!$C$13*AS$42*SUM($C$42:AS42)</f>
        <v>0</v>
      </c>
      <c r="AT47" s="744">
        <f>$C$8*'HO10,13'!$C$15*'HO10,13'!$C$16/'HO10,13'!$C$13*AT$42*SUM($C$42:AT42)</f>
        <v>0</v>
      </c>
      <c r="AU47" s="745">
        <f>$C$8*'HO10,13'!$C$15*'HO10,13'!$C$16/'HO10,13'!$C$13*AU$42*SUM($C$42:AU42)</f>
        <v>0</v>
      </c>
    </row>
    <row r="48" spans="1:48" s="15" customFormat="1" ht="13.5" outlineLevel="1" x14ac:dyDescent="0.25">
      <c r="B48" s="722" t="s">
        <v>483</v>
      </c>
      <c r="C48" s="744">
        <f>$C$9*'HO10,13'!$C$15*'HO10,13'!$C$16/'HO10,13'!$C$13*C$42*SUM($C$42:C42)</f>
        <v>0</v>
      </c>
      <c r="D48" s="744">
        <f>$C$9*'HO10,13'!$C$15*'HO10,13'!$C$16/'HO10,13'!$C$13*D$42*SUM($C$42:D42)</f>
        <v>0</v>
      </c>
      <c r="E48" s="744">
        <f>$C$9*'HO10,13'!$C$15*'HO10,13'!$C$16/'HO10,13'!$C$13*E$42*SUM($C$42:E42)</f>
        <v>0.94860608695652171</v>
      </c>
      <c r="F48" s="744">
        <f>$C$9*'HO10,13'!$C$15*'HO10,13'!$C$16/'HO10,13'!$C$13*F$42*SUM($C$42:F42)</f>
        <v>1.8972121739130434</v>
      </c>
      <c r="G48" s="744">
        <f>$C$9*'HO10,13'!$C$15*'HO10,13'!$C$16/'HO10,13'!$C$13*G$42*SUM($C$42:G42)</f>
        <v>2.845818260869565</v>
      </c>
      <c r="H48" s="744">
        <f>$C$9*'HO10,13'!$C$15*'HO10,13'!$C$16/'HO10,13'!$C$13*H$42*SUM($C$42:H42)</f>
        <v>3.7944243478260868</v>
      </c>
      <c r="I48" s="744">
        <f>$C$9*'HO10,13'!$C$15*'HO10,13'!$C$16/'HO10,13'!$C$13*I$42*SUM($C$42:I42)</f>
        <v>4.7430304347826082</v>
      </c>
      <c r="J48" s="744">
        <f>$C$9*'HO10,13'!$C$15*'HO10,13'!$C$16/'HO10,13'!$C$13*J$42*SUM($C$42:J42)</f>
        <v>5.69163652173913</v>
      </c>
      <c r="K48" s="744">
        <f>$C$9*'HO10,13'!$C$15*'HO10,13'!$C$16/'HO10,13'!$C$13*K$42*SUM($C$42:K42)</f>
        <v>6.6402426086956519</v>
      </c>
      <c r="L48" s="744">
        <f>$C$9*'HO10,13'!$C$15*'HO10,13'!$C$16/'HO10,13'!$C$13*L$42*SUM($C$42:L42)</f>
        <v>7.5888486956521737</v>
      </c>
      <c r="M48" s="744">
        <f>$C$9*'HO10,13'!$C$15*'HO10,13'!$C$16/'HO10,13'!$C$13*M$42*SUM($C$42:M42)</f>
        <v>8.5374547826086946</v>
      </c>
      <c r="N48" s="744">
        <f>$C$9*'HO10,13'!$C$15*'HO10,13'!$C$16/'HO10,13'!$C$13*N$42*SUM($C$42:N42)</f>
        <v>9.4860608695652164</v>
      </c>
      <c r="O48" s="744">
        <f>$C$9*'HO10,13'!$C$15*'HO10,13'!$C$16/'HO10,13'!$C$13*O$42*SUM($C$42:O42)</f>
        <v>10.434666956521738</v>
      </c>
      <c r="P48" s="744">
        <f>$C$9*'HO10,13'!$C$15*'HO10,13'!$C$16/'HO10,13'!$C$13*P$42*SUM($C$42:P42)</f>
        <v>11.38327304347826</v>
      </c>
      <c r="Q48" s="744">
        <f>$C$9*'HO10,13'!$C$15*'HO10,13'!$C$16/'HO10,13'!$C$13*Q$42*SUM($C$42:Q42)</f>
        <v>12.331879130434782</v>
      </c>
      <c r="R48" s="744">
        <f>$C$9*'HO10,13'!$C$15*'HO10,13'!$C$16/'HO10,13'!$C$13*R$42*SUM($C$42:R42)</f>
        <v>13.280485217391304</v>
      </c>
      <c r="S48" s="744">
        <f>$C$9*'HO10,13'!$C$15*'HO10,13'!$C$16/'HO10,13'!$C$13*S$42*SUM($C$42:S42)</f>
        <v>14.229091304347826</v>
      </c>
      <c r="T48" s="744">
        <f>$C$9*'HO10,13'!$C$15*'HO10,13'!$C$16/'HO10,13'!$C$13*T$42*SUM($C$42:T42)</f>
        <v>15.177697391304347</v>
      </c>
      <c r="U48" s="744">
        <f>$C$9*'HO10,13'!$C$15*'HO10,13'!$C$16/'HO10,13'!$C$13*U$42*SUM($C$42:U42)</f>
        <v>16.126303478260869</v>
      </c>
      <c r="V48" s="744">
        <f>$C$9*'HO10,13'!$C$15*'HO10,13'!$C$16/'HO10,13'!$C$13*V$42*SUM($C$42:V42)</f>
        <v>17.074909565217389</v>
      </c>
      <c r="W48" s="744">
        <f>$C$9*'HO10,13'!$C$15*'HO10,13'!$C$16/'HO10,13'!$C$13*W$42*SUM($C$42:W42)</f>
        <v>18.023515652173913</v>
      </c>
      <c r="X48" s="744">
        <f>$C$9*'HO10,13'!$C$15*'HO10,13'!$C$16/'HO10,13'!$C$13*X$42*SUM($C$42:X42)</f>
        <v>18.972121739130433</v>
      </c>
      <c r="Y48" s="744">
        <f>$C$9*'HO10,13'!$C$15*'HO10,13'!$C$16/'HO10,13'!$C$13*Y$42*SUM($C$42:Y42)</f>
        <v>19.920727826086956</v>
      </c>
      <c r="Z48" s="744">
        <f>$C$9*'HO10,13'!$C$15*'HO10,13'!$C$16/'HO10,13'!$C$13*Z$42*SUM($C$42:Z42)</f>
        <v>20.869333913043477</v>
      </c>
      <c r="AA48" s="744">
        <f>$C$9*'HO10,13'!$C$15*'HO10,13'!$C$16/'HO10,13'!$C$13*AA$42*SUM($C$42:AA42)</f>
        <v>21.81794</v>
      </c>
      <c r="AB48" s="744">
        <f>$C$9*'HO10,13'!$C$15*'HO10,13'!$C$16/'HO10,13'!$C$13*AB$42*SUM($C$42:AB42)</f>
        <v>0</v>
      </c>
      <c r="AC48" s="744">
        <f>$C$9*'HO10,13'!$C$15*'HO10,13'!$C$16/'HO10,13'!$C$13*AC$42*SUM($C$42:AC42)</f>
        <v>0</v>
      </c>
      <c r="AD48" s="744">
        <f>$C$9*'HO10,13'!$C$15*'HO10,13'!$C$16/'HO10,13'!$C$13*AD$42*SUM($C$42:AD42)</f>
        <v>0</v>
      </c>
      <c r="AE48" s="744">
        <f>$C$9*'HO10,13'!$C$15*'HO10,13'!$C$16/'HO10,13'!$C$13*AE$42*SUM($C$42:AE42)</f>
        <v>0</v>
      </c>
      <c r="AF48" s="744">
        <f>$C$9*'HO10,13'!$C$15*'HO10,13'!$C$16/'HO10,13'!$C$13*AF$42*SUM($C$42:AF42)</f>
        <v>0</v>
      </c>
      <c r="AG48" s="744">
        <f>$C$9*'HO10,13'!$C$15*'HO10,13'!$C$16/'HO10,13'!$C$13*AG$42*SUM($C$42:AG42)</f>
        <v>0</v>
      </c>
      <c r="AH48" s="744">
        <f>$C$9*'HO10,13'!$C$15*'HO10,13'!$C$16/'HO10,13'!$C$13*AH$42*SUM($C$42:AH42)</f>
        <v>0</v>
      </c>
      <c r="AI48" s="744">
        <f>$C$9*'HO10,13'!$C$15*'HO10,13'!$C$16/'HO10,13'!$C$13*AI$42*SUM($C$42:AI42)</f>
        <v>0</v>
      </c>
      <c r="AJ48" s="744">
        <f>$C$9*'HO10,13'!$C$15*'HO10,13'!$C$16/'HO10,13'!$C$13*AJ$42*SUM($C$42:AJ42)</f>
        <v>0</v>
      </c>
      <c r="AK48" s="744">
        <f>$C$9*'HO10,13'!$C$15*'HO10,13'!$C$16/'HO10,13'!$C$13*AK$42*SUM($C$42:AK42)</f>
        <v>0</v>
      </c>
      <c r="AL48" s="744">
        <f>$C$9*'HO10,13'!$C$15*'HO10,13'!$C$16/'HO10,13'!$C$13*AL$42*SUM($C$42:AL42)</f>
        <v>0</v>
      </c>
      <c r="AM48" s="744">
        <f>$C$9*'HO10,13'!$C$15*'HO10,13'!$C$16/'HO10,13'!$C$13*AM$42*SUM($C$42:AM42)</f>
        <v>0</v>
      </c>
      <c r="AN48" s="744">
        <f>$C$9*'HO10,13'!$C$15*'HO10,13'!$C$16/'HO10,13'!$C$13*AN$42*SUM($C$42:AN42)</f>
        <v>0</v>
      </c>
      <c r="AO48" s="744">
        <f>$C$9*'HO10,13'!$C$15*'HO10,13'!$C$16/'HO10,13'!$C$13*AO$42*SUM($C$42:AO42)</f>
        <v>0</v>
      </c>
      <c r="AP48" s="744">
        <f>$C$9*'HO10,13'!$C$15*'HO10,13'!$C$16/'HO10,13'!$C$13*AP$42*SUM($C$42:AP42)</f>
        <v>0</v>
      </c>
      <c r="AQ48" s="744">
        <f>$C$9*'HO10,13'!$C$15*'HO10,13'!$C$16/'HO10,13'!$C$13*AQ$42*SUM($C$42:AQ42)</f>
        <v>0</v>
      </c>
      <c r="AR48" s="744">
        <f>$C$9*'HO10,13'!$C$15*'HO10,13'!$C$16/'HO10,13'!$C$13*AR$42*SUM($C$42:AR42)</f>
        <v>0</v>
      </c>
      <c r="AS48" s="744">
        <f>$C$9*'HO10,13'!$C$15*'HO10,13'!$C$16/'HO10,13'!$C$13*AS$42*SUM($C$42:AS42)</f>
        <v>0</v>
      </c>
      <c r="AT48" s="744">
        <f>$C$9*'HO10,13'!$C$15*'HO10,13'!$C$16/'HO10,13'!$C$13*AT$42*SUM($C$42:AT42)</f>
        <v>0</v>
      </c>
      <c r="AU48" s="745">
        <f>$C$9*'HO10,13'!$C$15*'HO10,13'!$C$16/'HO10,13'!$C$13*AU$42*SUM($C$42:AU42)</f>
        <v>0</v>
      </c>
    </row>
    <row r="49" spans="2:47" s="15" customFormat="1" ht="13.5" outlineLevel="1" x14ac:dyDescent="0.25">
      <c r="B49" s="722" t="s">
        <v>484</v>
      </c>
      <c r="C49" s="744">
        <f>$C$10*'HO10,13'!$C$15*'HO10,13'!$C$16/'HO10,13'!$C$13*C$42*SUM($C$42:C42)</f>
        <v>0</v>
      </c>
      <c r="D49" s="744">
        <f>$C$10*'HO10,13'!$C$15*'HO10,13'!$C$16/'HO10,13'!$C$13*D$42*SUM($C$42:D42)</f>
        <v>0</v>
      </c>
      <c r="E49" s="744">
        <f>$C$10*'HO10,13'!$C$15*'HO10,13'!$C$16/'HO10,13'!$C$13*E$42*SUM($C$42:E42)</f>
        <v>0.59039086956521736</v>
      </c>
      <c r="F49" s="744">
        <f>$C$10*'HO10,13'!$C$15*'HO10,13'!$C$16/'HO10,13'!$C$13*F$42*SUM($C$42:F42)</f>
        <v>1.1807817391304347</v>
      </c>
      <c r="G49" s="744">
        <f>$C$10*'HO10,13'!$C$15*'HO10,13'!$C$16/'HO10,13'!$C$13*G$42*SUM($C$42:G42)</f>
        <v>1.7711726086956521</v>
      </c>
      <c r="H49" s="744">
        <f>$C$10*'HO10,13'!$C$15*'HO10,13'!$C$16/'HO10,13'!$C$13*H$42*SUM($C$42:H42)</f>
        <v>2.3615634782608694</v>
      </c>
      <c r="I49" s="744">
        <f>$C$10*'HO10,13'!$C$15*'HO10,13'!$C$16/'HO10,13'!$C$13*I$42*SUM($C$42:I42)</f>
        <v>2.9519543478260868</v>
      </c>
      <c r="J49" s="744">
        <f>$C$10*'HO10,13'!$C$15*'HO10,13'!$C$16/'HO10,13'!$C$13*J$42*SUM($C$42:J42)</f>
        <v>3.5423452173913041</v>
      </c>
      <c r="K49" s="744">
        <f>$C$10*'HO10,13'!$C$15*'HO10,13'!$C$16/'HO10,13'!$C$13*K$42*SUM($C$42:K42)</f>
        <v>4.1327360869565215</v>
      </c>
      <c r="L49" s="744">
        <f>$C$10*'HO10,13'!$C$15*'HO10,13'!$C$16/'HO10,13'!$C$13*L$42*SUM($C$42:L42)</f>
        <v>4.7231269565217389</v>
      </c>
      <c r="M49" s="744">
        <f>$C$10*'HO10,13'!$C$15*'HO10,13'!$C$16/'HO10,13'!$C$13*M$42*SUM($C$42:M42)</f>
        <v>5.3135178260869562</v>
      </c>
      <c r="N49" s="744">
        <f>$C$10*'HO10,13'!$C$15*'HO10,13'!$C$16/'HO10,13'!$C$13*N$42*SUM($C$42:N42)</f>
        <v>5.9039086956521736</v>
      </c>
      <c r="O49" s="744">
        <f>$C$10*'HO10,13'!$C$15*'HO10,13'!$C$16/'HO10,13'!$C$13*O$42*SUM($C$42:O42)</f>
        <v>6.4942995652173909</v>
      </c>
      <c r="P49" s="744">
        <f>$C$10*'HO10,13'!$C$15*'HO10,13'!$C$16/'HO10,13'!$C$13*P$42*SUM($C$42:P42)</f>
        <v>7.0846904347826083</v>
      </c>
      <c r="Q49" s="744">
        <f>$C$10*'HO10,13'!$C$15*'HO10,13'!$C$16/'HO10,13'!$C$13*Q$42*SUM($C$42:Q42)</f>
        <v>7.6750813043478257</v>
      </c>
      <c r="R49" s="744">
        <f>$C$10*'HO10,13'!$C$15*'HO10,13'!$C$16/'HO10,13'!$C$13*R$42*SUM($C$42:R42)</f>
        <v>8.265472173913043</v>
      </c>
      <c r="S49" s="744">
        <f>$C$10*'HO10,13'!$C$15*'HO10,13'!$C$16/'HO10,13'!$C$13*S$42*SUM($C$42:S42)</f>
        <v>8.8558630434782604</v>
      </c>
      <c r="T49" s="744">
        <f>$C$10*'HO10,13'!$C$15*'HO10,13'!$C$16/'HO10,13'!$C$13*T$42*SUM($C$42:T42)</f>
        <v>9.4462539130434777</v>
      </c>
      <c r="U49" s="744">
        <f>$C$10*'HO10,13'!$C$15*'HO10,13'!$C$16/'HO10,13'!$C$13*U$42*SUM($C$42:U42)</f>
        <v>10.036644782608695</v>
      </c>
      <c r="V49" s="744">
        <f>$C$10*'HO10,13'!$C$15*'HO10,13'!$C$16/'HO10,13'!$C$13*V$42*SUM($C$42:V42)</f>
        <v>10.627035652173912</v>
      </c>
      <c r="W49" s="744">
        <f>$C$10*'HO10,13'!$C$15*'HO10,13'!$C$16/'HO10,13'!$C$13*W$42*SUM($C$42:W42)</f>
        <v>11.21742652173913</v>
      </c>
      <c r="X49" s="744">
        <f>$C$10*'HO10,13'!$C$15*'HO10,13'!$C$16/'HO10,13'!$C$13*X$42*SUM($C$42:X42)</f>
        <v>11.807817391304347</v>
      </c>
      <c r="Y49" s="744">
        <f>$C$10*'HO10,13'!$C$15*'HO10,13'!$C$16/'HO10,13'!$C$13*Y$42*SUM($C$42:Y42)</f>
        <v>12.398208260869565</v>
      </c>
      <c r="Z49" s="744">
        <f>$C$10*'HO10,13'!$C$15*'HO10,13'!$C$16/'HO10,13'!$C$13*Z$42*SUM($C$42:Z42)</f>
        <v>12.988599130434782</v>
      </c>
      <c r="AA49" s="744">
        <f>$C$10*'HO10,13'!$C$15*'HO10,13'!$C$16/'HO10,13'!$C$13*AA$42*SUM($C$42:AA42)</f>
        <v>13.578989999999999</v>
      </c>
      <c r="AB49" s="744">
        <f>$C$10*'HO10,13'!$C$15*'HO10,13'!$C$16/'HO10,13'!$C$13*AB$42*SUM($C$42:AB42)</f>
        <v>0</v>
      </c>
      <c r="AC49" s="744">
        <f>$C$10*'HO10,13'!$C$15*'HO10,13'!$C$16/'HO10,13'!$C$13*AC$42*SUM($C$42:AC42)</f>
        <v>0</v>
      </c>
      <c r="AD49" s="744">
        <f>$C$10*'HO10,13'!$C$15*'HO10,13'!$C$16/'HO10,13'!$C$13*AD$42*SUM($C$42:AD42)</f>
        <v>0</v>
      </c>
      <c r="AE49" s="744">
        <f>$C$10*'HO10,13'!$C$15*'HO10,13'!$C$16/'HO10,13'!$C$13*AE$42*SUM($C$42:AE42)</f>
        <v>0</v>
      </c>
      <c r="AF49" s="744">
        <f>$C$10*'HO10,13'!$C$15*'HO10,13'!$C$16/'HO10,13'!$C$13*AF$42*SUM($C$42:AF42)</f>
        <v>0</v>
      </c>
      <c r="AG49" s="744">
        <f>$C$10*'HO10,13'!$C$15*'HO10,13'!$C$16/'HO10,13'!$C$13*AG$42*SUM($C$42:AG42)</f>
        <v>0</v>
      </c>
      <c r="AH49" s="744">
        <f>$C$10*'HO10,13'!$C$15*'HO10,13'!$C$16/'HO10,13'!$C$13*AH$42*SUM($C$42:AH42)</f>
        <v>0</v>
      </c>
      <c r="AI49" s="744">
        <f>$C$10*'HO10,13'!$C$15*'HO10,13'!$C$16/'HO10,13'!$C$13*AI$42*SUM($C$42:AI42)</f>
        <v>0</v>
      </c>
      <c r="AJ49" s="744">
        <f>$C$10*'HO10,13'!$C$15*'HO10,13'!$C$16/'HO10,13'!$C$13*AJ$42*SUM($C$42:AJ42)</f>
        <v>0</v>
      </c>
      <c r="AK49" s="744">
        <f>$C$10*'HO10,13'!$C$15*'HO10,13'!$C$16/'HO10,13'!$C$13*AK$42*SUM($C$42:AK42)</f>
        <v>0</v>
      </c>
      <c r="AL49" s="744">
        <f>$C$10*'HO10,13'!$C$15*'HO10,13'!$C$16/'HO10,13'!$C$13*AL$42*SUM($C$42:AL42)</f>
        <v>0</v>
      </c>
      <c r="AM49" s="744">
        <f>$C$10*'HO10,13'!$C$15*'HO10,13'!$C$16/'HO10,13'!$C$13*AM$42*SUM($C$42:AM42)</f>
        <v>0</v>
      </c>
      <c r="AN49" s="744">
        <f>$C$10*'HO10,13'!$C$15*'HO10,13'!$C$16/'HO10,13'!$C$13*AN$42*SUM($C$42:AN42)</f>
        <v>0</v>
      </c>
      <c r="AO49" s="744">
        <f>$C$10*'HO10,13'!$C$15*'HO10,13'!$C$16/'HO10,13'!$C$13*AO$42*SUM($C$42:AO42)</f>
        <v>0</v>
      </c>
      <c r="AP49" s="744">
        <f>$C$10*'HO10,13'!$C$15*'HO10,13'!$C$16/'HO10,13'!$C$13*AP$42*SUM($C$42:AP42)</f>
        <v>0</v>
      </c>
      <c r="AQ49" s="744">
        <f>$C$10*'HO10,13'!$C$15*'HO10,13'!$C$16/'HO10,13'!$C$13*AQ$42*SUM($C$42:AQ42)</f>
        <v>0</v>
      </c>
      <c r="AR49" s="744">
        <f>$C$10*'HO10,13'!$C$15*'HO10,13'!$C$16/'HO10,13'!$C$13*AR$42*SUM($C$42:AR42)</f>
        <v>0</v>
      </c>
      <c r="AS49" s="744">
        <f>$C$10*'HO10,13'!$C$15*'HO10,13'!$C$16/'HO10,13'!$C$13*AS$42*SUM($C$42:AS42)</f>
        <v>0</v>
      </c>
      <c r="AT49" s="744">
        <f>$C$10*'HO10,13'!$C$15*'HO10,13'!$C$16/'HO10,13'!$C$13*AT$42*SUM($C$42:AT42)</f>
        <v>0</v>
      </c>
      <c r="AU49" s="745">
        <f>$C$10*'HO10,13'!$C$15*'HO10,13'!$C$16/'HO10,13'!$C$13*AU$42*SUM($C$42:AU42)</f>
        <v>0</v>
      </c>
    </row>
    <row r="50" spans="2:47" s="39" customFormat="1" ht="13.5" outlineLevel="1" x14ac:dyDescent="0.25">
      <c r="B50" s="767" t="s">
        <v>445</v>
      </c>
      <c r="C50" s="710">
        <f>SUM(C47:C49)</f>
        <v>0</v>
      </c>
      <c r="D50" s="710">
        <f t="shared" ref="D50:M50" si="66">SUM(D47:D49)</f>
        <v>0</v>
      </c>
      <c r="E50" s="710">
        <f t="shared" si="66"/>
        <v>2.2538665217391305</v>
      </c>
      <c r="F50" s="710">
        <f t="shared" si="66"/>
        <v>4.507733043478261</v>
      </c>
      <c r="G50" s="710">
        <f t="shared" si="66"/>
        <v>6.7615995652173915</v>
      </c>
      <c r="H50" s="710">
        <f t="shared" si="66"/>
        <v>9.015466086956522</v>
      </c>
      <c r="I50" s="710">
        <f t="shared" si="66"/>
        <v>11.269332608695651</v>
      </c>
      <c r="J50" s="710">
        <f t="shared" si="66"/>
        <v>13.523199130434783</v>
      </c>
      <c r="K50" s="710">
        <f t="shared" si="66"/>
        <v>15.777065652173912</v>
      </c>
      <c r="L50" s="710">
        <f t="shared" si="66"/>
        <v>18.030932173913044</v>
      </c>
      <c r="M50" s="710">
        <f t="shared" si="66"/>
        <v>20.284798695652171</v>
      </c>
      <c r="N50" s="710">
        <f t="shared" ref="N50" si="67">SUM(N47:N49)</f>
        <v>22.538665217391301</v>
      </c>
      <c r="O50" s="710">
        <f t="shared" ref="O50" si="68">SUM(O47:O49)</f>
        <v>24.792531739130432</v>
      </c>
      <c r="P50" s="710">
        <f t="shared" ref="P50" si="69">SUM(P47:P49)</f>
        <v>27.046398260869566</v>
      </c>
      <c r="Q50" s="710">
        <f t="shared" ref="Q50" si="70">SUM(Q47:Q49)</f>
        <v>29.300264782608693</v>
      </c>
      <c r="R50" s="710">
        <f t="shared" ref="R50" si="71">SUM(R47:R49)</f>
        <v>31.554131304347823</v>
      </c>
      <c r="S50" s="710">
        <f t="shared" ref="S50" si="72">SUM(S47:S49)</f>
        <v>33.807997826086954</v>
      </c>
      <c r="T50" s="710">
        <f t="shared" ref="T50" si="73">SUM(T47:T49)</f>
        <v>36.061864347826088</v>
      </c>
      <c r="U50" s="710">
        <f t="shared" ref="U50" si="74">SUM(U47:U49)</f>
        <v>38.315730869565215</v>
      </c>
      <c r="V50" s="710">
        <f t="shared" ref="V50:W50" si="75">SUM(V47:V49)</f>
        <v>40.569597391304342</v>
      </c>
      <c r="W50" s="710">
        <f t="shared" si="75"/>
        <v>42.823463913043476</v>
      </c>
      <c r="X50" s="710">
        <f t="shared" ref="X50" si="76">SUM(X47:X49)</f>
        <v>45.077330434782603</v>
      </c>
      <c r="Y50" s="710">
        <f t="shared" ref="Y50" si="77">SUM(Y47:Y49)</f>
        <v>47.331196956521737</v>
      </c>
      <c r="Z50" s="710">
        <f t="shared" ref="Z50" si="78">SUM(Z47:Z49)</f>
        <v>49.585063478260864</v>
      </c>
      <c r="AA50" s="710">
        <f t="shared" ref="AA50" si="79">SUM(AA47:AA49)</f>
        <v>51.838929999999998</v>
      </c>
      <c r="AB50" s="710">
        <f t="shared" ref="AB50" si="80">SUM(AB47:AB49)</f>
        <v>0</v>
      </c>
      <c r="AC50" s="710">
        <f t="shared" ref="AC50" si="81">SUM(AC47:AC49)</f>
        <v>0</v>
      </c>
      <c r="AD50" s="710">
        <f t="shared" ref="AD50" si="82">SUM(AD47:AD49)</f>
        <v>0</v>
      </c>
      <c r="AE50" s="710">
        <f t="shared" ref="AE50" si="83">SUM(AE47:AE49)</f>
        <v>0</v>
      </c>
      <c r="AF50" s="710">
        <f t="shared" ref="AF50:AG50" si="84">SUM(AF47:AF49)</f>
        <v>0</v>
      </c>
      <c r="AG50" s="710">
        <f t="shared" si="84"/>
        <v>0</v>
      </c>
      <c r="AH50" s="710">
        <f t="shared" ref="AH50" si="85">SUM(AH47:AH49)</f>
        <v>0</v>
      </c>
      <c r="AI50" s="710">
        <f t="shared" ref="AI50" si="86">SUM(AI47:AI49)</f>
        <v>0</v>
      </c>
      <c r="AJ50" s="710">
        <f t="shared" ref="AJ50" si="87">SUM(AJ47:AJ49)</f>
        <v>0</v>
      </c>
      <c r="AK50" s="710">
        <f t="shared" ref="AK50" si="88">SUM(AK47:AK49)</f>
        <v>0</v>
      </c>
      <c r="AL50" s="710">
        <f t="shared" ref="AL50" si="89">SUM(AL47:AL49)</f>
        <v>0</v>
      </c>
      <c r="AM50" s="710">
        <f t="shared" ref="AM50" si="90">SUM(AM47:AM49)</f>
        <v>0</v>
      </c>
      <c r="AN50" s="710">
        <f t="shared" ref="AN50" si="91">SUM(AN47:AN49)</f>
        <v>0</v>
      </c>
      <c r="AO50" s="710">
        <f t="shared" ref="AO50" si="92">SUM(AO47:AO49)</f>
        <v>0</v>
      </c>
      <c r="AP50" s="710">
        <f t="shared" ref="AP50:AQ50" si="93">SUM(AP47:AP49)</f>
        <v>0</v>
      </c>
      <c r="AQ50" s="710">
        <f t="shared" si="93"/>
        <v>0</v>
      </c>
      <c r="AR50" s="710">
        <f t="shared" ref="AR50" si="94">SUM(AR47:AR49)</f>
        <v>0</v>
      </c>
      <c r="AS50" s="710">
        <f t="shared" ref="AS50" si="95">SUM(AS47:AS49)</f>
        <v>0</v>
      </c>
      <c r="AT50" s="710">
        <f t="shared" ref="AT50" si="96">SUM(AT47:AT49)</f>
        <v>0</v>
      </c>
      <c r="AU50" s="426">
        <f t="shared" ref="AU50" si="97">SUM(AU47:AU49)</f>
        <v>0</v>
      </c>
    </row>
    <row r="51" spans="2:47" s="15" customFormat="1" ht="13.5" outlineLevel="1" x14ac:dyDescent="0.25">
      <c r="B51" s="431" t="s">
        <v>1042</v>
      </c>
      <c r="C51" s="744">
        <f>($D$8*(SISENDID!H73/SISENDID!$H$73)+$D$10*(SISENDID!H72/SISENDID!$I$72))*'HO10,13'!$C$15*'HO10,13'!$C$16/'HO10,13'!$C$13*C42</f>
        <v>0</v>
      </c>
      <c r="D51" s="744">
        <f>($D$8*(SISENDID!I73/SISENDID!$H$73)+$D$10*(SISENDID!I72/SISENDID!$I$72))*'HO10,13'!$C$15*'HO10,13'!$C$16/'HO10,13'!$C$13*D42</f>
        <v>0</v>
      </c>
      <c r="E51" s="744">
        <f>($D$8*(SISENDID!J73/SISENDID!$H$73)+$D$10*(SISENDID!J72/SISENDID!$I$72))*'HO10,13'!$C$15*'HO10,13'!$C$16/'HO10,13'!$C$13*E42</f>
        <v>153.34986767485822</v>
      </c>
      <c r="F51" s="744">
        <f>($D$8*(SISENDID!K73/SISENDID!$H$73)+$D$10*(SISENDID!K72/SISENDID!$I$72))*'HO10,13'!$C$15*'HO10,13'!$C$16/'HO10,13'!$C$13*F42</f>
        <v>127.80669187145557</v>
      </c>
      <c r="G51" s="744">
        <f>($D$8*(SISENDID!L73/SISENDID!$H$73)+$D$10*(SISENDID!L72/SISENDID!$I$72))*'HO10,13'!$C$15*'HO10,13'!$C$16/'HO10,13'!$C$13*G42</f>
        <v>102.26351606805291</v>
      </c>
      <c r="H51" s="744">
        <f>($D$8*(SISENDID!M73/SISENDID!$H$73)+$D$10*(SISENDID!M72/SISENDID!$I$72))*'HO10,13'!$C$15*'HO10,13'!$C$16/'HO10,13'!$C$13*H42</f>
        <v>97.150340264650254</v>
      </c>
      <c r="I51" s="744">
        <f>($D$8*(SISENDID!N73/SISENDID!$H$73)+$D$10*(SISENDID!N72/SISENDID!$I$72))*'HO10,13'!$C$15*'HO10,13'!$C$16/'HO10,13'!$C$13*I42</f>
        <v>92.037164461247599</v>
      </c>
      <c r="J51" s="744">
        <f>($D$8*(SISENDID!O73/SISENDID!$H$73)+$D$10*(SISENDID!O72/SISENDID!$I$72))*'HO10,13'!$C$15*'HO10,13'!$C$16/'HO10,13'!$C$13*J42</f>
        <v>86.923988657844944</v>
      </c>
      <c r="K51" s="744">
        <f>($D$8*(SISENDID!P73/SISENDID!$H$73)+$D$10*(SISENDID!P72/SISENDID!$I$72))*'HO10,13'!$C$15*'HO10,13'!$C$16/'HO10,13'!$C$13*K42</f>
        <v>81.81081285444229</v>
      </c>
      <c r="L51" s="744">
        <f>($D$8*(SISENDID!Q73/SISENDID!$H$73)+$D$10*(SISENDID!Q72/SISENDID!$I$72))*'HO10,13'!$C$15*'HO10,13'!$C$16/'HO10,13'!$C$13*L42</f>
        <v>76.697637051039649</v>
      </c>
      <c r="M51" s="744">
        <f>($D$8*(SISENDID!R73/SISENDID!$H$73)+$D$10*(SISENDID!R72/SISENDID!$I$72))*'HO10,13'!$C$15*'HO10,13'!$C$16/'HO10,13'!$C$13*M42</f>
        <v>71.584461247636995</v>
      </c>
      <c r="N51" s="744">
        <f>($D$8*(SISENDID!S73/SISENDID!$H$73)+$D$10*(SISENDID!S72/SISENDID!$I$72))*'HO10,13'!$C$15*'HO10,13'!$C$16/'HO10,13'!$C$13*N42</f>
        <v>66.471285444234354</v>
      </c>
      <c r="O51" s="744">
        <f>($D$8*(SISENDID!T73/SISENDID!$H$73)+$D$10*(SISENDID!T72/SISENDID!$I$72))*'HO10,13'!$C$15*'HO10,13'!$C$16/'HO10,13'!$C$13*O42</f>
        <v>61.358109640831692</v>
      </c>
      <c r="P51" s="744">
        <f>($D$8*(SISENDID!U73/SISENDID!$H$73)+$D$10*(SISENDID!U72/SISENDID!$I$72))*'HO10,13'!$C$15*'HO10,13'!$C$16/'HO10,13'!$C$13*P42</f>
        <v>56.244933837429059</v>
      </c>
      <c r="Q51" s="744">
        <f>($D$8*(SISENDID!V73/SISENDID!$H$73)+$D$10*(SISENDID!V72/SISENDID!$I$72))*'HO10,13'!$C$15*'HO10,13'!$C$16/'HO10,13'!$C$13*Q42</f>
        <v>51.131758034026404</v>
      </c>
      <c r="R51" s="744">
        <f>($D$8*(SISENDID!W73/SISENDID!$H$73)+$D$10*(SISENDID!W72/SISENDID!$I$72))*'HO10,13'!$C$15*'HO10,13'!$C$16/'HO10,13'!$C$13*R42</f>
        <v>46.018582230623757</v>
      </c>
      <c r="S51" s="744">
        <f>($D$8*(SISENDID!X73/SISENDID!$H$73)+$D$10*(SISENDID!X72/SISENDID!$I$72))*'HO10,13'!$C$15*'HO10,13'!$C$16/'HO10,13'!$C$13*S42</f>
        <v>40.905406427221102</v>
      </c>
      <c r="T51" s="744">
        <f>($D$8*(SISENDID!Y73/SISENDID!$H$73)+$D$10*(SISENDID!Y72/SISENDID!$I$72))*'HO10,13'!$C$15*'HO10,13'!$C$16/'HO10,13'!$C$13*T42</f>
        <v>35.792230623818448</v>
      </c>
      <c r="U51" s="744">
        <f>($D$8*(SISENDID!Z73/SISENDID!$H$73)+$D$10*(SISENDID!Z72/SISENDID!$I$72))*'HO10,13'!$C$15*'HO10,13'!$C$16/'HO10,13'!$C$13*U42</f>
        <v>30.679054820415807</v>
      </c>
      <c r="V51" s="744">
        <f>($D$8*(SISENDID!AA73/SISENDID!$H$73)+$D$10*(SISENDID!AA72/SISENDID!$I$72))*'HO10,13'!$C$15*'HO10,13'!$C$16/'HO10,13'!$C$13*V42</f>
        <v>25.565879017013152</v>
      </c>
      <c r="W51" s="744">
        <f>($D$8*(SISENDID!AB73/SISENDID!$H$73)+$D$10*(SISENDID!AB72/SISENDID!$I$72))*'HO10,13'!$C$15*'HO10,13'!$C$16/'HO10,13'!$C$13*W42</f>
        <v>20.452703213610501</v>
      </c>
      <c r="X51" s="744">
        <f>($D$8*(SISENDID!AC73/SISENDID!$H$73)+$D$10*(SISENDID!AC72/SISENDID!$I$72))*'HO10,13'!$C$15*'HO10,13'!$C$16/'HO10,13'!$C$13*X42</f>
        <v>15.339527410207856</v>
      </c>
      <c r="Y51" s="744">
        <f>($D$8*(SISENDID!AD73/SISENDID!$H$73)+$D$10*(SISENDID!AD72/SISENDID!$I$72))*'HO10,13'!$C$15*'HO10,13'!$C$16/'HO10,13'!$C$13*Y42</f>
        <v>10.226351606805206</v>
      </c>
      <c r="Z51" s="744">
        <f>($D$8*(SISENDID!AE73/SISENDID!$H$73)+$D$10*(SISENDID!AE72/SISENDID!$I$72))*'HO10,13'!$C$15*'HO10,13'!$C$16/'HO10,13'!$C$13*Z42</f>
        <v>5.1131758034025552</v>
      </c>
      <c r="AA51" s="744">
        <f>($D$8*(SISENDID!AF73/SISENDID!$H$73)+$D$10*(SISENDID!AF72/SISENDID!$I$72))*'HO10,13'!$C$15*'HO10,13'!$C$16/'HO10,13'!$C$13*AA42</f>
        <v>0</v>
      </c>
      <c r="AB51" s="744">
        <f>($D$8*(SISENDID!AG73/SISENDID!$H$73)+$D$10*(SISENDID!AG72/SISENDID!$I$72))*'HO10,13'!$C$15*'HO10,13'!$C$16/'HO10,13'!$C$13*AB42</f>
        <v>0</v>
      </c>
      <c r="AC51" s="744">
        <f>($D$8*(SISENDID!AH73/SISENDID!$H$73)+$D$10*(SISENDID!AH72/SISENDID!$I$72))*'HO10,13'!$C$15*'HO10,13'!$C$16/'HO10,13'!$C$13*AC42</f>
        <v>0</v>
      </c>
      <c r="AD51" s="744">
        <f>($D$8*(SISENDID!AI73/SISENDID!$H$73)+$D$10*(SISENDID!AI72/SISENDID!$I$72))*'HO10,13'!$C$15*'HO10,13'!$C$16/'HO10,13'!$C$13*AD42</f>
        <v>0</v>
      </c>
      <c r="AE51" s="744">
        <f>($D$8*(SISENDID!AJ73/SISENDID!$H$73)+$D$10*(SISENDID!AJ72/SISENDID!$I$72))*'HO10,13'!$C$15*'HO10,13'!$C$16/'HO10,13'!$C$13*AE42</f>
        <v>0</v>
      </c>
      <c r="AF51" s="744">
        <f>($D$8*(SISENDID!AK73/SISENDID!$H$73)+$D$10*(SISENDID!AK72/SISENDID!$I$72))*'HO10,13'!$C$15*'HO10,13'!$C$16/'HO10,13'!$C$13*AF42</f>
        <v>0</v>
      </c>
      <c r="AG51" s="744">
        <f>($D$8*(SISENDID!AL73/SISENDID!$H$73)+$D$10*(SISENDID!AL72/SISENDID!$I$72))*'HO10,13'!$C$15*'HO10,13'!$C$16/'HO10,13'!$C$13*AG42</f>
        <v>0</v>
      </c>
      <c r="AH51" s="744">
        <f>($D$8*(SISENDID!AM73/SISENDID!$H$73)+$D$10*(SISENDID!AM72/SISENDID!$I$72))*'HO10,13'!$C$15*'HO10,13'!$C$16/'HO10,13'!$C$13*AH42</f>
        <v>0</v>
      </c>
      <c r="AI51" s="744">
        <f>($D$8*(SISENDID!AN73/SISENDID!$H$73)+$D$10*(SISENDID!AN72/SISENDID!$I$72))*'HO10,13'!$C$15*'HO10,13'!$C$16/'HO10,13'!$C$13*AI42</f>
        <v>0</v>
      </c>
      <c r="AJ51" s="744">
        <f>($D$8*(SISENDID!AO73/SISENDID!$H$73)+$D$10*(SISENDID!AO72/SISENDID!$I$72))*'HO10,13'!$C$15*'HO10,13'!$C$16/'HO10,13'!$C$13*AJ42</f>
        <v>0</v>
      </c>
      <c r="AK51" s="744">
        <f>($D$8*(SISENDID!AP73/SISENDID!$H$73)+$D$10*(SISENDID!AP72/SISENDID!$I$72))*'HO10,13'!$C$15*'HO10,13'!$C$16/'HO10,13'!$C$13*AK42</f>
        <v>0</v>
      </c>
      <c r="AL51" s="744">
        <f>($D$8*(SISENDID!AQ73/SISENDID!$H$73)+$D$10*(SISENDID!AQ72/SISENDID!$I$72))*'HO10,13'!$C$15*'HO10,13'!$C$16/'HO10,13'!$C$13*AL42</f>
        <v>0</v>
      </c>
      <c r="AM51" s="744">
        <f>($D$8*(SISENDID!AR73/SISENDID!$H$73)+$D$10*(SISENDID!AR72/SISENDID!$I$72))*'HO10,13'!$C$15*'HO10,13'!$C$16/'HO10,13'!$C$13*AM42</f>
        <v>0</v>
      </c>
      <c r="AN51" s="744">
        <f>($D$8*(SISENDID!AS73/SISENDID!$H$73)+$D$10*(SISENDID!AS72/SISENDID!$I$72))*'HO10,13'!$C$15*'HO10,13'!$C$16/'HO10,13'!$C$13*AN42</f>
        <v>0</v>
      </c>
      <c r="AO51" s="744">
        <f>($D$8*(SISENDID!AT73/SISENDID!$H$73)+$D$10*(SISENDID!AT72/SISENDID!$I$72))*'HO10,13'!$C$15*'HO10,13'!$C$16/'HO10,13'!$C$13*AO42</f>
        <v>0</v>
      </c>
      <c r="AP51" s="744">
        <f>($D$8*(SISENDID!AU73/SISENDID!$H$73)+$D$10*(SISENDID!AU72/SISENDID!$I$72))*'HO10,13'!$C$15*'HO10,13'!$C$16/'HO10,13'!$C$13*AP42</f>
        <v>0</v>
      </c>
      <c r="AQ51" s="744">
        <f>($D$8*(SISENDID!AV73/SISENDID!$H$73)+$D$10*(SISENDID!AV72/SISENDID!$I$72))*'HO10,13'!$C$15*'HO10,13'!$C$16/'HO10,13'!$C$13*AQ42</f>
        <v>0</v>
      </c>
      <c r="AR51" s="744">
        <f>($D$8*(SISENDID!AW73/SISENDID!$H$73)+$D$10*(SISENDID!AW72/SISENDID!$I$72))*'HO10,13'!$C$15*'HO10,13'!$C$16/'HO10,13'!$C$13*AR42</f>
        <v>0</v>
      </c>
      <c r="AS51" s="744">
        <f>($D$8*(SISENDID!AX73/SISENDID!$H$73)+$D$10*(SISENDID!AX72/SISENDID!$I$72))*'HO10,13'!$C$15*'HO10,13'!$C$16/'HO10,13'!$C$13*AS42</f>
        <v>0</v>
      </c>
      <c r="AT51" s="744">
        <f>($D$8*(SISENDID!AY73/SISENDID!$H$73)+$D$10*(SISENDID!AY72/SISENDID!$I$72))*'HO10,13'!$C$15*'HO10,13'!$C$16/'HO10,13'!$C$13*AT42</f>
        <v>0</v>
      </c>
      <c r="AU51" s="745">
        <f>($D$8*(SISENDID!AZ73/SISENDID!$H$73)+$D$10*(SISENDID!AZ72/SISENDID!$I$72))*'HO10,13'!$C$15*'HO10,13'!$C$16/'HO10,13'!$C$13*AU42</f>
        <v>0</v>
      </c>
    </row>
    <row r="52" spans="2:47" s="39" customFormat="1" ht="13.5" outlineLevel="1" x14ac:dyDescent="0.25">
      <c r="B52" s="696" t="s">
        <v>1043</v>
      </c>
      <c r="C52" s="710">
        <f>C51</f>
        <v>0</v>
      </c>
      <c r="D52" s="710">
        <f>D51+C52</f>
        <v>0</v>
      </c>
      <c r="E52" s="710">
        <f t="shared" ref="E52:AU52" si="98">E51+D52</f>
        <v>153.34986767485822</v>
      </c>
      <c r="F52" s="710">
        <f t="shared" si="98"/>
        <v>281.15655954631382</v>
      </c>
      <c r="G52" s="710">
        <f t="shared" si="98"/>
        <v>383.42007561436674</v>
      </c>
      <c r="H52" s="710">
        <f t="shared" si="98"/>
        <v>480.57041587901699</v>
      </c>
      <c r="I52" s="710">
        <f t="shared" si="98"/>
        <v>572.60758034026458</v>
      </c>
      <c r="J52" s="710">
        <f t="shared" si="98"/>
        <v>659.53156899810949</v>
      </c>
      <c r="K52" s="710">
        <f t="shared" si="98"/>
        <v>741.34238185255174</v>
      </c>
      <c r="L52" s="710">
        <f t="shared" si="98"/>
        <v>818.04001890359143</v>
      </c>
      <c r="M52" s="710">
        <f t="shared" si="98"/>
        <v>889.62448015122845</v>
      </c>
      <c r="N52" s="710">
        <f t="shared" si="98"/>
        <v>956.09576559546281</v>
      </c>
      <c r="O52" s="710">
        <f t="shared" si="98"/>
        <v>1017.4538752362945</v>
      </c>
      <c r="P52" s="710">
        <f t="shared" si="98"/>
        <v>1073.6988090737236</v>
      </c>
      <c r="Q52" s="710">
        <f t="shared" si="98"/>
        <v>1124.8305671077501</v>
      </c>
      <c r="R52" s="710">
        <f t="shared" si="98"/>
        <v>1170.8491493383738</v>
      </c>
      <c r="S52" s="710">
        <f t="shared" si="98"/>
        <v>1211.7545557655949</v>
      </c>
      <c r="T52" s="710">
        <f t="shared" si="98"/>
        <v>1247.5467863894132</v>
      </c>
      <c r="U52" s="710">
        <f t="shared" si="98"/>
        <v>1278.225841209829</v>
      </c>
      <c r="V52" s="710">
        <f t="shared" si="98"/>
        <v>1303.7917202268422</v>
      </c>
      <c r="W52" s="710">
        <f t="shared" si="98"/>
        <v>1324.2444234404527</v>
      </c>
      <c r="X52" s="710">
        <f t="shared" si="98"/>
        <v>1339.5839508506606</v>
      </c>
      <c r="Y52" s="710">
        <f t="shared" si="98"/>
        <v>1349.8103024574657</v>
      </c>
      <c r="Z52" s="710">
        <f t="shared" si="98"/>
        <v>1354.9234782608683</v>
      </c>
      <c r="AA52" s="710">
        <f t="shared" si="98"/>
        <v>1354.9234782608683</v>
      </c>
      <c r="AB52" s="710">
        <f t="shared" si="98"/>
        <v>1354.9234782608683</v>
      </c>
      <c r="AC52" s="710">
        <f t="shared" si="98"/>
        <v>1354.9234782608683</v>
      </c>
      <c r="AD52" s="710">
        <f t="shared" si="98"/>
        <v>1354.9234782608683</v>
      </c>
      <c r="AE52" s="710">
        <f t="shared" si="98"/>
        <v>1354.9234782608683</v>
      </c>
      <c r="AF52" s="710">
        <f t="shared" si="98"/>
        <v>1354.9234782608683</v>
      </c>
      <c r="AG52" s="710">
        <f t="shared" si="98"/>
        <v>1354.9234782608683</v>
      </c>
      <c r="AH52" s="710">
        <f t="shared" si="98"/>
        <v>1354.9234782608683</v>
      </c>
      <c r="AI52" s="710">
        <f t="shared" si="98"/>
        <v>1354.9234782608683</v>
      </c>
      <c r="AJ52" s="710">
        <f t="shared" si="98"/>
        <v>1354.9234782608683</v>
      </c>
      <c r="AK52" s="710">
        <f t="shared" si="98"/>
        <v>1354.9234782608683</v>
      </c>
      <c r="AL52" s="710">
        <f t="shared" si="98"/>
        <v>1354.9234782608683</v>
      </c>
      <c r="AM52" s="710">
        <f t="shared" si="98"/>
        <v>1354.9234782608683</v>
      </c>
      <c r="AN52" s="710">
        <f t="shared" si="98"/>
        <v>1354.9234782608683</v>
      </c>
      <c r="AO52" s="710">
        <f t="shared" si="98"/>
        <v>1354.9234782608683</v>
      </c>
      <c r="AP52" s="710">
        <f t="shared" si="98"/>
        <v>1354.9234782608683</v>
      </c>
      <c r="AQ52" s="710">
        <f t="shared" si="98"/>
        <v>1354.9234782608683</v>
      </c>
      <c r="AR52" s="710">
        <f t="shared" si="98"/>
        <v>1354.9234782608683</v>
      </c>
      <c r="AS52" s="710">
        <f t="shared" si="98"/>
        <v>1354.9234782608683</v>
      </c>
      <c r="AT52" s="710">
        <f t="shared" si="98"/>
        <v>1354.9234782608683</v>
      </c>
      <c r="AU52" s="426">
        <f t="shared" si="98"/>
        <v>1354.9234782608683</v>
      </c>
    </row>
    <row r="53" spans="2:47" s="15" customFormat="1" ht="18.75" customHeight="1" x14ac:dyDescent="0.25"/>
    <row r="54" spans="2:47" s="15" customFormat="1" ht="13.5" x14ac:dyDescent="0.25"/>
    <row r="55" spans="2:47" s="15" customFormat="1" ht="13.5" x14ac:dyDescent="0.25">
      <c r="C55" s="237"/>
      <c r="D55" s="237"/>
    </row>
    <row r="56" spans="2:47" x14ac:dyDescent="0.25">
      <c r="C56" s="238"/>
      <c r="D56" s="237"/>
    </row>
    <row r="57" spans="2:47" x14ac:dyDescent="0.25">
      <c r="C57" s="238"/>
      <c r="D57" s="237"/>
    </row>
    <row r="58" spans="2:47" x14ac:dyDescent="0.25">
      <c r="C58" s="238"/>
      <c r="D58" s="1"/>
    </row>
    <row r="59" spans="2:47" x14ac:dyDescent="0.25">
      <c r="C59" s="238"/>
      <c r="D59" s="1"/>
    </row>
    <row r="60" spans="2:47" x14ac:dyDescent="0.25">
      <c r="C60" s="238"/>
      <c r="D60" s="1"/>
    </row>
    <row r="61" spans="2:47" x14ac:dyDescent="0.25">
      <c r="C61" s="237"/>
      <c r="D61" s="1"/>
    </row>
    <row r="62" spans="2:47" x14ac:dyDescent="0.25">
      <c r="C62" s="237"/>
      <c r="D62" s="1"/>
    </row>
    <row r="63" spans="2:47" x14ac:dyDescent="0.25">
      <c r="C63" s="237"/>
      <c r="D63" s="1"/>
    </row>
    <row r="64" spans="2:47" x14ac:dyDescent="0.25">
      <c r="C64" s="237"/>
      <c r="D64" s="1"/>
    </row>
  </sheetData>
  <sheetProtection algorithmName="SHA-512" hashValue="HFTV1Um412b/0Bj/Zm9AcE4ZX9PSG5Z+q7AIut8avLIy0UYrh+temPFfIuZjUfn22+L23bh2GSA83TuUoum6ng==" saltValue="DAGH0TKq9VWc+UeRHw4Egw==" spinCount="100000" sheet="1" objects="1" scenarios="1" selectLockedCells="1"/>
  <mergeCells count="2">
    <mergeCell ref="B3:D3"/>
    <mergeCell ref="E3:L3"/>
  </mergeCells>
  <conditionalFormatting sqref="C35:C37">
    <cfRule type="containsText" dxfId="68" priority="1" operator="containsText" text="Kõrge">
      <formula>NOT(ISERROR(SEARCH("Kõrge",C35)))</formula>
    </cfRule>
    <cfRule type="containsText" dxfId="67" priority="2" operator="containsText" text="Mõõdukas">
      <formula>NOT(ISERROR(SEARCH("Mõõdukas",C35)))</formula>
    </cfRule>
    <cfRule type="containsText" dxfId="66" priority="3" operator="containsText" text="Madal">
      <formula>NOT(ISERROR(SEARCH("Madal",C35)))</formula>
    </cfRule>
  </conditionalFormatting>
  <dataValidations count="3">
    <dataValidation type="list" allowBlank="1" showInputMessage="1" showErrorMessage="1" sqref="C37" xr:uid="{9E86BF6D-15B9-41CE-8E7A-E79E8B7B9BC1}">
      <formula1>I35:I37</formula1>
    </dataValidation>
    <dataValidation type="list" allowBlank="1" showInputMessage="1" showErrorMessage="1" sqref="C35" xr:uid="{6CEDEFC6-DE21-4C46-ADCF-BB3E6FFEA167}">
      <formula1>I35:I37</formula1>
    </dataValidation>
    <dataValidation type="list" allowBlank="1" showInputMessage="1" showErrorMessage="1" sqref="C36" xr:uid="{C7003012-CF18-462E-B286-A1B05C369BD1}">
      <formula1>I35:I37</formula1>
    </dataValidation>
  </dataValidations>
  <hyperlinks>
    <hyperlink ref="B1" location="MEETMED!A1" display="&lt;-MEETMETE NIMEKIRI" xr:uid="{14B040A9-9541-475A-B7B6-56466F6AD40F}"/>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1A41F-529E-4D53-895B-98D95D9517B8}">
  <sheetPr>
    <tabColor theme="9" tint="0.79998168889431442"/>
  </sheetPr>
  <dimension ref="A1:AU95"/>
  <sheetViews>
    <sheetView showGridLines="0" workbookViewId="0">
      <selection activeCell="C7" sqref="C7"/>
    </sheetView>
  </sheetViews>
  <sheetFormatPr defaultColWidth="8.85546875" defaultRowHeight="15" outlineLevelRow="1" x14ac:dyDescent="0.25"/>
  <cols>
    <col min="1" max="1" width="3.7109375" customWidth="1"/>
    <col min="2" max="2" width="49.5703125" customWidth="1"/>
    <col min="3" max="3" width="12" customWidth="1"/>
    <col min="4" max="4" width="12.42578125" customWidth="1"/>
    <col min="5" max="5" width="12.140625" customWidth="1"/>
    <col min="6" max="6" width="11.85546875" customWidth="1"/>
    <col min="7" max="8" width="9.7109375" customWidth="1"/>
    <col min="9" max="9" width="9" customWidth="1"/>
    <col min="10" max="10" width="9.85546875" bestFit="1" customWidth="1"/>
    <col min="11" max="15" width="11.5703125" bestFit="1" customWidth="1"/>
    <col min="16" max="17" width="9.85546875" bestFit="1" customWidth="1"/>
    <col min="18" max="18" width="10.28515625" bestFit="1" customWidth="1"/>
    <col min="19" max="43" width="9.85546875" bestFit="1" customWidth="1"/>
  </cols>
  <sheetData>
    <row r="1" spans="1:27" s="1" customFormat="1" x14ac:dyDescent="0.25">
      <c r="B1" s="32" t="s">
        <v>860</v>
      </c>
      <c r="C1" s="14"/>
      <c r="D1" s="14"/>
      <c r="E1" s="14"/>
      <c r="F1" s="14"/>
      <c r="G1" s="14"/>
      <c r="H1" s="14"/>
      <c r="I1" s="14"/>
      <c r="J1" s="14"/>
      <c r="K1" s="14"/>
      <c r="L1" s="14"/>
    </row>
    <row r="2" spans="1:27" s="1" customFormat="1" ht="6.75" customHeight="1" x14ac:dyDescent="0.25"/>
    <row r="3" spans="1:27" ht="47.25" customHeight="1" x14ac:dyDescent="0.25">
      <c r="A3" s="260" t="s">
        <v>54</v>
      </c>
      <c r="B3" s="988" t="str">
        <f>"MEEDE: "&amp;VLOOKUP(A3,MEETMED!B:G,2,FALSE)</f>
        <v>MEEDE: Elu- ja ärihoonete uuenduslik renoveerimine ja ehitamine</v>
      </c>
      <c r="C3" s="988"/>
      <c r="D3" s="988"/>
      <c r="E3" s="990" t="str">
        <f>"TEGEVUS: "&amp;VLOOKUP(A3,MEETMED!B:G,3,FALSE)</f>
        <v>TEGEVUS: Eelistada hoonete/alade rekonstrueerimist uue ehitamisele; miljööalade rekonstrueerimine kui võimalik (Kalamajas, Kopli liinidel jne)</v>
      </c>
      <c r="F3" s="990"/>
      <c r="G3" s="990"/>
      <c r="H3" s="990"/>
      <c r="I3" s="990"/>
      <c r="J3" s="990"/>
      <c r="K3" s="990"/>
      <c r="L3" s="990"/>
      <c r="M3" s="1"/>
      <c r="N3" s="309"/>
      <c r="O3" s="1"/>
      <c r="P3" s="1"/>
      <c r="Q3" s="1"/>
      <c r="R3" s="1"/>
      <c r="S3" s="1"/>
      <c r="T3" s="1"/>
      <c r="U3" s="1"/>
      <c r="V3" s="1"/>
      <c r="W3" s="1"/>
      <c r="X3" s="1"/>
      <c r="Y3" s="1"/>
      <c r="Z3" s="1"/>
      <c r="AA3" s="1"/>
    </row>
    <row r="4" spans="1:27" s="1" customFormat="1" ht="7.5" customHeight="1" x14ac:dyDescent="0.25">
      <c r="B4" s="33"/>
      <c r="C4" s="33"/>
      <c r="D4" s="33"/>
      <c r="E4" s="33"/>
      <c r="F4" s="33"/>
      <c r="G4" s="33"/>
      <c r="H4" s="33"/>
      <c r="I4" s="33"/>
      <c r="J4" s="33"/>
      <c r="K4" s="33"/>
      <c r="L4" s="33"/>
    </row>
    <row r="5" spans="1:27" x14ac:dyDescent="0.25">
      <c r="A5" s="1"/>
      <c r="B5" s="673" t="s">
        <v>861</v>
      </c>
      <c r="C5" s="673"/>
      <c r="D5" s="673"/>
      <c r="E5" s="673"/>
      <c r="F5" s="673"/>
      <c r="G5" s="673"/>
      <c r="H5" s="673"/>
      <c r="I5" s="673"/>
      <c r="J5" s="673"/>
      <c r="K5" s="673"/>
      <c r="L5" s="673"/>
      <c r="M5" s="1"/>
      <c r="N5" s="1"/>
      <c r="P5" s="1"/>
      <c r="Q5" s="1"/>
      <c r="R5" s="1"/>
      <c r="S5" s="1"/>
      <c r="T5" s="1"/>
      <c r="U5" s="1"/>
      <c r="V5" s="1"/>
      <c r="W5" s="1"/>
      <c r="X5" s="1"/>
      <c r="Y5" s="1"/>
      <c r="Z5" s="1"/>
      <c r="AA5" s="1"/>
    </row>
    <row r="6" spans="1:27" s="1" customFormat="1" ht="14.25" customHeight="1" outlineLevel="1" x14ac:dyDescent="0.25">
      <c r="D6" s="33"/>
    </row>
    <row r="7" spans="1:27" s="1" customFormat="1" outlineLevel="1" x14ac:dyDescent="0.25">
      <c r="B7" s="671" t="s">
        <v>862</v>
      </c>
      <c r="C7" s="900">
        <v>2026</v>
      </c>
      <c r="D7" s="155" t="s">
        <v>863</v>
      </c>
      <c r="E7" s="155"/>
      <c r="F7" s="155"/>
      <c r="G7" s="155"/>
      <c r="H7" s="155"/>
      <c r="I7" s="155"/>
      <c r="J7" s="155"/>
      <c r="K7" s="155"/>
      <c r="L7" s="155"/>
    </row>
    <row r="8" spans="1:27" s="1" customFormat="1" outlineLevel="1" x14ac:dyDescent="0.25">
      <c r="B8" s="671" t="s">
        <v>864</v>
      </c>
      <c r="C8" s="900">
        <v>2050</v>
      </c>
      <c r="D8" s="155" t="s">
        <v>863</v>
      </c>
      <c r="E8" s="155"/>
      <c r="F8" s="155"/>
      <c r="G8" s="155"/>
      <c r="H8" s="155"/>
      <c r="I8" s="155"/>
      <c r="J8" s="155"/>
      <c r="K8" s="155"/>
    </row>
    <row r="9" spans="1:27" s="1" customFormat="1" outlineLevel="1" x14ac:dyDescent="0.25">
      <c r="B9" s="671" t="s">
        <v>865</v>
      </c>
      <c r="C9" s="749">
        <f>C8-C7+1</f>
        <v>25</v>
      </c>
      <c r="D9" s="155" t="s">
        <v>863</v>
      </c>
      <c r="E9" s="155"/>
      <c r="F9" s="155"/>
      <c r="G9" s="155"/>
      <c r="H9"/>
      <c r="I9" s="38"/>
      <c r="J9"/>
      <c r="K9"/>
    </row>
    <row r="10" spans="1:27" s="1" customFormat="1" outlineLevel="1" x14ac:dyDescent="0.25">
      <c r="B10" s="219"/>
      <c r="C10"/>
      <c r="D10" s="155"/>
      <c r="E10" s="155"/>
      <c r="H10" s="39"/>
      <c r="I10" s="363" t="s">
        <v>866</v>
      </c>
      <c r="J10" s="39"/>
      <c r="K10" s="39"/>
      <c r="L10"/>
    </row>
    <row r="11" spans="1:27" s="1" customFormat="1" ht="69" customHeight="1" outlineLevel="1" x14ac:dyDescent="0.25">
      <c r="B11" s="770"/>
      <c r="C11" s="743" t="s">
        <v>1044</v>
      </c>
      <c r="D11" s="743" t="s">
        <v>1045</v>
      </c>
      <c r="E11" s="743" t="s">
        <v>1046</v>
      </c>
      <c r="F11" s="743" t="s">
        <v>537</v>
      </c>
      <c r="G11" s="743" t="s">
        <v>1047</v>
      </c>
      <c r="I11" s="743" t="s">
        <v>1048</v>
      </c>
      <c r="J11" s="743" t="s">
        <v>1049</v>
      </c>
      <c r="K11" s="743" t="s">
        <v>1050</v>
      </c>
      <c r="L11" s="743" t="s">
        <v>1051</v>
      </c>
      <c r="N11" s="277" t="s">
        <v>876</v>
      </c>
    </row>
    <row r="12" spans="1:27" s="1" customFormat="1" outlineLevel="1" x14ac:dyDescent="0.25">
      <c r="B12" s="671" t="s">
        <v>1052</v>
      </c>
      <c r="C12" s="895">
        <v>113102.5</v>
      </c>
      <c r="D12" s="734">
        <v>0</v>
      </c>
      <c r="E12" s="734">
        <f t="shared" ref="E12:E19" si="0">(C12-D12)*$C$22</f>
        <v>90482</v>
      </c>
      <c r="F12" s="915">
        <v>0.2</v>
      </c>
      <c r="G12" s="771">
        <f>1-F12</f>
        <v>0.8</v>
      </c>
      <c r="I12" s="775">
        <f>SISENDID!P148</f>
        <v>130</v>
      </c>
      <c r="J12" s="757">
        <f>SISENDID!Q148</f>
        <v>70</v>
      </c>
      <c r="K12" s="757">
        <f>SISENDID!R148</f>
        <v>70</v>
      </c>
      <c r="L12" s="776">
        <f>SISENDID!S148</f>
        <v>45</v>
      </c>
      <c r="N12" s="893" t="s">
        <v>1670</v>
      </c>
      <c r="O12" s="305" t="s">
        <v>877</v>
      </c>
    </row>
    <row r="13" spans="1:27" s="1" customFormat="1" outlineLevel="1" x14ac:dyDescent="0.25">
      <c r="B13" s="671" t="s">
        <v>1053</v>
      </c>
      <c r="C13" s="895">
        <v>8244967.2000000002</v>
      </c>
      <c r="D13" s="734">
        <v>0</v>
      </c>
      <c r="E13" s="734">
        <f t="shared" si="0"/>
        <v>6595973.7600000007</v>
      </c>
      <c r="F13" s="915">
        <v>0.6</v>
      </c>
      <c r="G13" s="771">
        <f t="shared" ref="G13:G19" si="1">1-F13</f>
        <v>0.4</v>
      </c>
      <c r="I13" s="775">
        <f>SISENDID!P149</f>
        <v>170</v>
      </c>
      <c r="J13" s="757">
        <f>SISENDID!Q149</f>
        <v>35</v>
      </c>
      <c r="K13" s="757">
        <f>SISENDID!R149</f>
        <v>70</v>
      </c>
      <c r="L13" s="776">
        <f>SISENDID!S149</f>
        <v>38</v>
      </c>
      <c r="N13" s="892" t="s">
        <v>878</v>
      </c>
      <c r="O13" s="305" t="s">
        <v>1669</v>
      </c>
    </row>
    <row r="14" spans="1:27" s="1" customFormat="1" outlineLevel="1" x14ac:dyDescent="0.25">
      <c r="B14" s="671" t="s">
        <v>576</v>
      </c>
      <c r="C14" s="895">
        <v>548601.1</v>
      </c>
      <c r="D14" s="734">
        <v>97345.197600000014</v>
      </c>
      <c r="E14" s="734">
        <f t="shared" si="0"/>
        <v>361004.72191999998</v>
      </c>
      <c r="F14" s="915">
        <v>0.3</v>
      </c>
      <c r="G14" s="771">
        <f t="shared" si="1"/>
        <v>0.7</v>
      </c>
      <c r="I14" s="775">
        <f>SISENDID!P148</f>
        <v>130</v>
      </c>
      <c r="J14" s="757">
        <f>SISENDID!Q148</f>
        <v>70</v>
      </c>
      <c r="K14" s="757">
        <f>SISENDID!R148</f>
        <v>70</v>
      </c>
      <c r="L14" s="776">
        <f>SISENDID!S148</f>
        <v>45</v>
      </c>
      <c r="N14" s="892" t="s">
        <v>1671</v>
      </c>
      <c r="O14" s="228">
        <v>1234</v>
      </c>
    </row>
    <row r="15" spans="1:27" s="1" customFormat="1" outlineLevel="1" x14ac:dyDescent="0.25">
      <c r="B15" s="671" t="s">
        <v>577</v>
      </c>
      <c r="C15" s="895">
        <v>187785.3</v>
      </c>
      <c r="D15" s="734">
        <v>114076.78099999997</v>
      </c>
      <c r="E15" s="734">
        <f t="shared" si="0"/>
        <v>58966.815200000012</v>
      </c>
      <c r="F15" s="915">
        <v>0.3</v>
      </c>
      <c r="G15" s="771">
        <f t="shared" si="1"/>
        <v>0.7</v>
      </c>
      <c r="I15" s="775">
        <f>SISENDID!P149</f>
        <v>170</v>
      </c>
      <c r="J15" s="757">
        <f>SISENDID!Q149</f>
        <v>35</v>
      </c>
      <c r="K15" s="757">
        <f>SISENDID!R149</f>
        <v>70</v>
      </c>
      <c r="L15" s="776">
        <f>SISENDID!S149</f>
        <v>38</v>
      </c>
    </row>
    <row r="16" spans="1:27" s="1" customFormat="1" outlineLevel="1" x14ac:dyDescent="0.25">
      <c r="B16" s="671" t="s">
        <v>578</v>
      </c>
      <c r="C16" s="895">
        <v>565271.4</v>
      </c>
      <c r="D16" s="734">
        <v>181262.30400000006</v>
      </c>
      <c r="E16" s="734">
        <f t="shared" si="0"/>
        <v>307207.27679999999</v>
      </c>
      <c r="F16" s="915">
        <v>0.3</v>
      </c>
      <c r="G16" s="771">
        <f t="shared" si="1"/>
        <v>0.7</v>
      </c>
      <c r="I16" s="775">
        <f>SISENDID!P150</f>
        <v>80</v>
      </c>
      <c r="J16" s="757">
        <f>SISENDID!Q150</f>
        <v>140</v>
      </c>
      <c r="K16" s="757">
        <f>SISENDID!R150</f>
        <v>55</v>
      </c>
      <c r="L16" s="776">
        <f>SISENDID!S150</f>
        <v>85</v>
      </c>
    </row>
    <row r="17" spans="1:34" s="1" customFormat="1" outlineLevel="1" x14ac:dyDescent="0.25">
      <c r="B17" s="671" t="s">
        <v>579</v>
      </c>
      <c r="C17" s="895">
        <v>493391.7</v>
      </c>
      <c r="D17" s="734">
        <v>320054.16599999997</v>
      </c>
      <c r="E17" s="734">
        <f t="shared" si="0"/>
        <v>138670.02720000004</v>
      </c>
      <c r="F17" s="915">
        <v>0.3</v>
      </c>
      <c r="G17" s="771">
        <f t="shared" si="1"/>
        <v>0.7</v>
      </c>
      <c r="I17" s="775">
        <f>SISENDID!P151</f>
        <v>140</v>
      </c>
      <c r="J17" s="757">
        <f>SISENDID!Q151</f>
        <v>30</v>
      </c>
      <c r="K17" s="757">
        <f>SISENDID!R151</f>
        <v>55</v>
      </c>
      <c r="L17" s="776">
        <f>SISENDID!S151</f>
        <v>40</v>
      </c>
    </row>
    <row r="18" spans="1:34" s="1" customFormat="1" outlineLevel="1" x14ac:dyDescent="0.25">
      <c r="B18" s="671" t="s">
        <v>580</v>
      </c>
      <c r="C18" s="895">
        <v>42276.5</v>
      </c>
      <c r="D18" s="734">
        <v>24188.99</v>
      </c>
      <c r="E18" s="734">
        <f t="shared" si="0"/>
        <v>14470.008</v>
      </c>
      <c r="F18" s="915">
        <v>0.3</v>
      </c>
      <c r="G18" s="771">
        <f t="shared" si="1"/>
        <v>0.7</v>
      </c>
      <c r="I18" s="775">
        <f>SISENDID!P152</f>
        <v>170</v>
      </c>
      <c r="J18" s="757">
        <f>SISENDID!Q152</f>
        <v>35</v>
      </c>
      <c r="K18" s="757">
        <f>SISENDID!R152</f>
        <v>70</v>
      </c>
      <c r="L18" s="776">
        <f>SISENDID!S152</f>
        <v>38</v>
      </c>
    </row>
    <row r="19" spans="1:34" s="1" customFormat="1" outlineLevel="1" x14ac:dyDescent="0.25">
      <c r="B19" s="671" t="s">
        <v>581</v>
      </c>
      <c r="C19" s="895">
        <v>80397.5</v>
      </c>
      <c r="D19" s="734">
        <v>54622.614999999976</v>
      </c>
      <c r="E19" s="734">
        <f t="shared" si="0"/>
        <v>20619.908000000021</v>
      </c>
      <c r="F19" s="915">
        <v>0.3</v>
      </c>
      <c r="G19" s="771">
        <f t="shared" si="1"/>
        <v>0.7</v>
      </c>
      <c r="I19" s="775">
        <f>SISENDID!P153</f>
        <v>80</v>
      </c>
      <c r="J19" s="757">
        <f>SISENDID!Q153</f>
        <v>140</v>
      </c>
      <c r="K19" s="757">
        <f>SISENDID!R153</f>
        <v>55</v>
      </c>
      <c r="L19" s="776">
        <f>SISENDID!S153</f>
        <v>85</v>
      </c>
    </row>
    <row r="20" spans="1:34" s="1" customFormat="1" outlineLevel="1" x14ac:dyDescent="0.25">
      <c r="B20" s="219"/>
      <c r="C20" s="772" t="s">
        <v>1054</v>
      </c>
      <c r="D20" s="773" t="s">
        <v>1055</v>
      </c>
      <c r="E20" s="774">
        <f>SUM(E12:E19)</f>
        <v>7587394.5171200018</v>
      </c>
      <c r="I20" s="777">
        <f>SUMPRODUCT(I12:I19,$E$12:$E$19)/$E$20</f>
        <v>163.18290142840323</v>
      </c>
      <c r="J20" s="778">
        <f t="shared" ref="J20:L20" si="2">SUMPRODUCT(J12:J19,$E$12:$E$19)/$E$20</f>
        <v>41.528003707127716</v>
      </c>
      <c r="K20" s="778">
        <f t="shared" si="2"/>
        <v>69.077752163247709</v>
      </c>
      <c r="L20" s="779">
        <f t="shared" si="2"/>
        <v>40.483807155528446</v>
      </c>
      <c r="N20" s="66" t="s">
        <v>1056</v>
      </c>
    </row>
    <row r="21" spans="1:34" s="1" customFormat="1" outlineLevel="1" x14ac:dyDescent="0.25">
      <c r="B21" s="155"/>
      <c r="C21" s="231"/>
      <c r="D21" s="155"/>
      <c r="E21" s="155"/>
      <c r="F21" s="155"/>
      <c r="G21" s="155"/>
      <c r="H21" s="155"/>
      <c r="I21" s="155"/>
      <c r="J21" s="155"/>
      <c r="K21" s="155"/>
      <c r="L21" s="155"/>
    </row>
    <row r="22" spans="1:34" s="1" customFormat="1" outlineLevel="1" x14ac:dyDescent="0.25">
      <c r="B22" s="155" t="s">
        <v>880</v>
      </c>
      <c r="C22" s="916">
        <v>0.8</v>
      </c>
      <c r="D22" s="155" t="s">
        <v>1057</v>
      </c>
      <c r="E22" s="155" t="s">
        <v>881</v>
      </c>
    </row>
    <row r="23" spans="1:34" s="1" customFormat="1" outlineLevel="1" x14ac:dyDescent="0.25">
      <c r="B23" s="155" t="s">
        <v>882</v>
      </c>
      <c r="C23" s="231">
        <f>E20/C9*C22</f>
        <v>242796.62454784007</v>
      </c>
      <c r="D23" s="155" t="s">
        <v>554</v>
      </c>
      <c r="E23" s="155"/>
    </row>
    <row r="24" spans="1:34" s="1" customFormat="1" outlineLevel="1" x14ac:dyDescent="0.25">
      <c r="B24" s="155" t="s">
        <v>883</v>
      </c>
      <c r="C24" s="231">
        <f>SISENDID!E175</f>
        <v>1522.80558218547</v>
      </c>
      <c r="D24" s="155" t="s">
        <v>884</v>
      </c>
      <c r="E24" s="155"/>
    </row>
    <row r="25" spans="1:34" s="1" customFormat="1" outlineLevel="1" x14ac:dyDescent="0.25">
      <c r="B25" s="155" t="s">
        <v>1034</v>
      </c>
      <c r="C25" s="920">
        <v>78</v>
      </c>
      <c r="D25" s="155" t="s">
        <v>887</v>
      </c>
      <c r="E25" s="155" t="s">
        <v>888</v>
      </c>
    </row>
    <row r="26" spans="1:34" s="1" customFormat="1" outlineLevel="1" x14ac:dyDescent="0.25">
      <c r="B26" s="155" t="s">
        <v>889</v>
      </c>
      <c r="C26" s="901">
        <f>600/11.2</f>
        <v>53.571428571428577</v>
      </c>
      <c r="D26" s="155" t="s">
        <v>887</v>
      </c>
      <c r="E26" s="155" t="s">
        <v>1035</v>
      </c>
    </row>
    <row r="27" spans="1:34" s="1" customFormat="1" outlineLevel="1" x14ac:dyDescent="0.25">
      <c r="B27" s="155" t="s">
        <v>891</v>
      </c>
      <c r="C27" s="920">
        <v>150</v>
      </c>
      <c r="D27" s="155" t="s">
        <v>887</v>
      </c>
      <c r="F27" s="155"/>
    </row>
    <row r="28" spans="1:34" s="1" customFormat="1" outlineLevel="1" x14ac:dyDescent="0.25">
      <c r="B28" s="155" t="s">
        <v>893</v>
      </c>
      <c r="C28" s="916">
        <v>0.95</v>
      </c>
      <c r="D28" s="155"/>
      <c r="E28" s="155"/>
      <c r="F28" s="155"/>
    </row>
    <row r="29" spans="1:34" s="5" customFormat="1" outlineLevel="1" x14ac:dyDescent="0.25">
      <c r="A29" s="1"/>
      <c r="B29" s="155" t="s">
        <v>894</v>
      </c>
      <c r="C29" s="920">
        <v>25</v>
      </c>
      <c r="D29" s="155" t="s">
        <v>863</v>
      </c>
      <c r="E29" s="155"/>
      <c r="F29" s="155"/>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s="1" customFormat="1" x14ac:dyDescent="0.25">
      <c r="B30" s="232"/>
      <c r="C30" s="232"/>
      <c r="D30" s="228"/>
      <c r="E30" s="228"/>
    </row>
    <row r="31" spans="1:34" x14ac:dyDescent="0.25">
      <c r="A31" s="1"/>
      <c r="B31" s="659" t="s">
        <v>895</v>
      </c>
      <c r="C31" s="659"/>
      <c r="D31" s="659"/>
      <c r="E31" s="659"/>
      <c r="F31" s="659"/>
      <c r="G31" s="659"/>
      <c r="H31" s="659"/>
      <c r="I31" s="659"/>
      <c r="J31" s="659"/>
      <c r="K31" s="659"/>
      <c r="L31" s="659"/>
      <c r="M31" s="1"/>
      <c r="N31" s="1"/>
      <c r="O31" s="1"/>
      <c r="P31" s="1"/>
      <c r="Q31" s="1"/>
      <c r="R31" s="1"/>
      <c r="S31" s="1"/>
      <c r="T31" s="1"/>
      <c r="U31" s="1"/>
      <c r="V31" s="1"/>
      <c r="W31" s="1"/>
      <c r="X31" s="1"/>
      <c r="Y31" s="1"/>
      <c r="Z31" s="1"/>
      <c r="AA31" s="1"/>
      <c r="AB31" s="1"/>
      <c r="AC31" s="1"/>
      <c r="AD31" s="1"/>
      <c r="AE31" s="1"/>
      <c r="AF31" s="1"/>
      <c r="AG31" s="1"/>
      <c r="AH31" s="1"/>
    </row>
    <row r="32" spans="1:34" s="1" customFormat="1" ht="9.75" customHeight="1" outlineLevel="1" x14ac:dyDescent="0.25"/>
    <row r="33" spans="1:47" s="1" customFormat="1" outlineLevel="1" x14ac:dyDescent="0.25">
      <c r="B33" s="284" t="s">
        <v>896</v>
      </c>
      <c r="D33" s="234"/>
      <c r="E33" s="284" t="s">
        <v>897</v>
      </c>
      <c r="L33" s="239"/>
    </row>
    <row r="34" spans="1:47" s="1" customFormat="1" ht="15" customHeight="1" outlineLevel="1" x14ac:dyDescent="0.25">
      <c r="B34" s="661" t="s">
        <v>898</v>
      </c>
      <c r="C34" s="701" t="s">
        <v>899</v>
      </c>
      <c r="E34" s="661"/>
      <c r="F34" s="701" t="s">
        <v>900</v>
      </c>
    </row>
    <row r="35" spans="1:47" s="1" customFormat="1" ht="15" customHeight="1" outlineLevel="1" x14ac:dyDescent="0.25">
      <c r="B35" s="663" t="s">
        <v>398</v>
      </c>
      <c r="C35" s="666">
        <f>C54/1000</f>
        <v>369.73205519724058</v>
      </c>
      <c r="E35" s="663">
        <v>2030</v>
      </c>
      <c r="F35" s="670">
        <f>G75</f>
        <v>8747.6643264759878</v>
      </c>
    </row>
    <row r="36" spans="1:47" s="1" customFormat="1" ht="15" customHeight="1" outlineLevel="1" x14ac:dyDescent="0.25">
      <c r="B36" s="155" t="s">
        <v>399</v>
      </c>
      <c r="C36" s="667">
        <v>0</v>
      </c>
      <c r="E36" s="155">
        <v>2035</v>
      </c>
      <c r="F36" s="428">
        <f>L75</f>
        <v>13121.496489713978</v>
      </c>
    </row>
    <row r="37" spans="1:47" s="1" customFormat="1" ht="15" customHeight="1" outlineLevel="1" x14ac:dyDescent="0.25">
      <c r="B37" s="663" t="s">
        <v>400</v>
      </c>
      <c r="C37" s="666">
        <f>AVERAGE(C56:AA56)/1000</f>
        <v>339.8434692936188</v>
      </c>
      <c r="D37" s="261"/>
      <c r="E37" s="663">
        <v>2040</v>
      </c>
      <c r="F37" s="670">
        <f>Q75</f>
        <v>13121.496489713969</v>
      </c>
    </row>
    <row r="38" spans="1:47" s="1" customFormat="1" outlineLevel="1" x14ac:dyDescent="0.25">
      <c r="B38" s="155" t="s">
        <v>401</v>
      </c>
      <c r="C38" s="667">
        <v>0</v>
      </c>
      <c r="D38" s="261"/>
      <c r="E38" s="155">
        <v>2045</v>
      </c>
      <c r="F38" s="428">
        <f>V75</f>
        <v>8747.6643264759641</v>
      </c>
    </row>
    <row r="39" spans="1:47" s="1" customFormat="1" ht="15" customHeight="1" outlineLevel="1" x14ac:dyDescent="0.25">
      <c r="B39" s="663" t="s">
        <v>901</v>
      </c>
      <c r="C39" s="670">
        <f>MAX(C75:AQ75)</f>
        <v>13646.356349302538</v>
      </c>
      <c r="D39" s="261"/>
      <c r="E39" s="663">
        <v>2050</v>
      </c>
      <c r="F39" s="670">
        <f>AA75</f>
        <v>0</v>
      </c>
    </row>
    <row r="40" spans="1:47" s="1" customFormat="1" ht="15" customHeight="1" outlineLevel="1" x14ac:dyDescent="0.25">
      <c r="B40" s="155" t="s">
        <v>902</v>
      </c>
      <c r="C40" s="428">
        <f>SUM(C68:AA68)/1000</f>
        <v>9592.1181303257254</v>
      </c>
      <c r="D40" s="261"/>
      <c r="E40" s="228"/>
    </row>
    <row r="41" spans="1:47" s="1" customFormat="1" outlineLevel="1" x14ac:dyDescent="0.25">
      <c r="B41" s="663" t="s">
        <v>403</v>
      </c>
      <c r="C41" s="670">
        <f>SUM(C56:AU56)*1000/SUM(C75:AU75)</f>
        <v>31611.516037792979</v>
      </c>
      <c r="D41" s="261"/>
      <c r="E41" s="228"/>
    </row>
    <row r="42" spans="1:47" s="1" customFormat="1" outlineLevel="1" x14ac:dyDescent="0.25">
      <c r="B42" s="13"/>
      <c r="C42" s="236"/>
    </row>
    <row r="43" spans="1:47" s="1" customFormat="1" outlineLevel="1" x14ac:dyDescent="0.25">
      <c r="B43" s="284" t="s">
        <v>903</v>
      </c>
      <c r="D43" s="43"/>
      <c r="E43" s="7"/>
      <c r="I43" s="277" t="s">
        <v>876</v>
      </c>
    </row>
    <row r="44" spans="1:47" s="1" customFormat="1" outlineLevel="1" x14ac:dyDescent="0.25">
      <c r="A44" s="33"/>
      <c r="B44" s="155" t="s">
        <v>904</v>
      </c>
      <c r="C44" s="307" t="s">
        <v>905</v>
      </c>
      <c r="E44" s="155" t="s">
        <v>1058</v>
      </c>
      <c r="F44" s="12"/>
      <c r="G44" s="12"/>
      <c r="H44" s="12"/>
      <c r="I44" s="311" t="s">
        <v>474</v>
      </c>
      <c r="J44" s="295" t="s">
        <v>906</v>
      </c>
    </row>
    <row r="45" spans="1:47" s="1" customFormat="1" ht="16.5" customHeight="1" outlineLevel="1" x14ac:dyDescent="0.25">
      <c r="A45" s="33">
        <v>1</v>
      </c>
      <c r="B45" s="155" t="s">
        <v>907</v>
      </c>
      <c r="C45" s="307" t="s">
        <v>474</v>
      </c>
      <c r="D45" s="397">
        <f>IF(C45="Kõrge",3,IF(C45="Mõõdukas",2,1))</f>
        <v>3</v>
      </c>
      <c r="E45" s="12"/>
      <c r="F45" s="12"/>
      <c r="G45" s="12"/>
      <c r="H45" s="12"/>
      <c r="I45" s="312" t="s">
        <v>905</v>
      </c>
      <c r="J45" s="295" t="s">
        <v>908</v>
      </c>
      <c r="L45" s="273"/>
    </row>
    <row r="46" spans="1:47" s="1" customFormat="1" ht="16.5" customHeight="1" outlineLevel="1" x14ac:dyDescent="0.25">
      <c r="A46" s="33"/>
      <c r="B46" s="155" t="s">
        <v>909</v>
      </c>
      <c r="C46" s="307" t="s">
        <v>910</v>
      </c>
      <c r="D46" s="397">
        <f>IF(C46="Kõrge",3,IF(C46="Mõõdukas",2,1))</f>
        <v>1</v>
      </c>
      <c r="E46" s="12"/>
      <c r="F46" s="12"/>
      <c r="I46" s="313" t="s">
        <v>910</v>
      </c>
      <c r="J46" s="295" t="s">
        <v>911</v>
      </c>
      <c r="L46" s="273"/>
    </row>
    <row r="47" spans="1:47" s="1" customFormat="1" x14ac:dyDescent="0.25">
      <c r="A47" s="33"/>
      <c r="B47" s="143"/>
      <c r="C47" s="399" t="s">
        <v>912</v>
      </c>
      <c r="D47" s="398">
        <f>D46+D45</f>
        <v>4</v>
      </c>
      <c r="H47" s="233"/>
      <c r="L47" s="295"/>
    </row>
    <row r="48" spans="1:47" x14ac:dyDescent="0.25">
      <c r="A48" s="1"/>
      <c r="B48" s="659" t="s">
        <v>913</v>
      </c>
      <c r="C48" s="659"/>
      <c r="D48" s="659"/>
      <c r="E48" s="659"/>
      <c r="F48" s="659"/>
      <c r="G48" s="659"/>
      <c r="H48" s="659"/>
      <c r="I48" s="659"/>
      <c r="J48" s="659"/>
      <c r="K48" s="659"/>
      <c r="L48" s="659"/>
      <c r="M48" s="659"/>
      <c r="N48" s="659"/>
      <c r="O48" s="659"/>
      <c r="P48" s="659"/>
      <c r="Q48" s="659"/>
      <c r="R48" s="659"/>
      <c r="S48" s="659"/>
      <c r="T48" s="659"/>
      <c r="U48" s="659"/>
      <c r="V48" s="659"/>
      <c r="W48" s="659"/>
      <c r="X48" s="659"/>
      <c r="Y48" s="659"/>
      <c r="Z48" s="659"/>
      <c r="AA48" s="659"/>
      <c r="AB48" s="659"/>
      <c r="AC48" s="659"/>
      <c r="AD48" s="659"/>
      <c r="AE48" s="659"/>
      <c r="AF48" s="659"/>
      <c r="AG48" s="659"/>
      <c r="AH48" s="659"/>
      <c r="AI48" s="659"/>
      <c r="AJ48" s="659"/>
      <c r="AK48" s="659"/>
      <c r="AL48" s="659"/>
      <c r="AM48" s="659"/>
      <c r="AN48" s="659"/>
      <c r="AO48" s="659"/>
      <c r="AP48" s="659"/>
      <c r="AQ48" s="659"/>
      <c r="AR48" s="659"/>
      <c r="AS48" s="659"/>
      <c r="AT48" s="659"/>
      <c r="AU48" s="659"/>
    </row>
    <row r="49" spans="2:47" s="15" customFormat="1" ht="7.5" customHeight="1" outlineLevel="1" x14ac:dyDescent="0.25"/>
    <row r="50" spans="2:47" s="15" customFormat="1" ht="13.5" outlineLevel="1" x14ac:dyDescent="0.25">
      <c r="B50" s="39" t="s">
        <v>914</v>
      </c>
      <c r="C50" s="39">
        <f>C7</f>
        <v>2026</v>
      </c>
      <c r="D50" s="39">
        <f>C50+1</f>
        <v>2027</v>
      </c>
      <c r="E50" s="39">
        <f t="shared" ref="E50:AU50" si="3">D50+1</f>
        <v>2028</v>
      </c>
      <c r="F50" s="39">
        <f t="shared" si="3"/>
        <v>2029</v>
      </c>
      <c r="G50" s="39">
        <f t="shared" si="3"/>
        <v>2030</v>
      </c>
      <c r="H50" s="39">
        <f t="shared" si="3"/>
        <v>2031</v>
      </c>
      <c r="I50" s="39">
        <f t="shared" si="3"/>
        <v>2032</v>
      </c>
      <c r="J50" s="39">
        <f t="shared" si="3"/>
        <v>2033</v>
      </c>
      <c r="K50" s="39">
        <f t="shared" si="3"/>
        <v>2034</v>
      </c>
      <c r="L50" s="39">
        <f t="shared" si="3"/>
        <v>2035</v>
      </c>
      <c r="M50" s="39">
        <f t="shared" si="3"/>
        <v>2036</v>
      </c>
      <c r="N50" s="39">
        <f t="shared" si="3"/>
        <v>2037</v>
      </c>
      <c r="O50" s="39">
        <f t="shared" si="3"/>
        <v>2038</v>
      </c>
      <c r="P50" s="39">
        <f t="shared" si="3"/>
        <v>2039</v>
      </c>
      <c r="Q50" s="39">
        <f t="shared" si="3"/>
        <v>2040</v>
      </c>
      <c r="R50" s="39">
        <f t="shared" si="3"/>
        <v>2041</v>
      </c>
      <c r="S50" s="39">
        <f t="shared" si="3"/>
        <v>2042</v>
      </c>
      <c r="T50" s="39">
        <f t="shared" si="3"/>
        <v>2043</v>
      </c>
      <c r="U50" s="39">
        <f t="shared" si="3"/>
        <v>2044</v>
      </c>
      <c r="V50" s="39">
        <f t="shared" si="3"/>
        <v>2045</v>
      </c>
      <c r="W50" s="39">
        <f t="shared" si="3"/>
        <v>2046</v>
      </c>
      <c r="X50" s="39">
        <f t="shared" si="3"/>
        <v>2047</v>
      </c>
      <c r="Y50" s="39">
        <f t="shared" si="3"/>
        <v>2048</v>
      </c>
      <c r="Z50" s="39">
        <f t="shared" si="3"/>
        <v>2049</v>
      </c>
      <c r="AA50" s="39">
        <f t="shared" si="3"/>
        <v>2050</v>
      </c>
      <c r="AB50" s="39">
        <f t="shared" si="3"/>
        <v>2051</v>
      </c>
      <c r="AC50" s="39">
        <f t="shared" si="3"/>
        <v>2052</v>
      </c>
      <c r="AD50" s="39">
        <f t="shared" si="3"/>
        <v>2053</v>
      </c>
      <c r="AE50" s="39">
        <f t="shared" si="3"/>
        <v>2054</v>
      </c>
      <c r="AF50" s="39">
        <f t="shared" si="3"/>
        <v>2055</v>
      </c>
      <c r="AG50" s="39">
        <f t="shared" si="3"/>
        <v>2056</v>
      </c>
      <c r="AH50" s="39">
        <f t="shared" si="3"/>
        <v>2057</v>
      </c>
      <c r="AI50" s="39">
        <f t="shared" si="3"/>
        <v>2058</v>
      </c>
      <c r="AJ50" s="39">
        <f t="shared" si="3"/>
        <v>2059</v>
      </c>
      <c r="AK50" s="39">
        <f t="shared" si="3"/>
        <v>2060</v>
      </c>
      <c r="AL50" s="39">
        <f t="shared" si="3"/>
        <v>2061</v>
      </c>
      <c r="AM50" s="39">
        <f t="shared" si="3"/>
        <v>2062</v>
      </c>
      <c r="AN50" s="39">
        <f t="shared" si="3"/>
        <v>2063</v>
      </c>
      <c r="AO50" s="39">
        <f t="shared" si="3"/>
        <v>2064</v>
      </c>
      <c r="AP50" s="39">
        <f t="shared" si="3"/>
        <v>2065</v>
      </c>
      <c r="AQ50" s="39">
        <f t="shared" si="3"/>
        <v>2066</v>
      </c>
      <c r="AR50" s="39">
        <f t="shared" si="3"/>
        <v>2067</v>
      </c>
      <c r="AS50" s="39">
        <f t="shared" si="3"/>
        <v>2068</v>
      </c>
      <c r="AT50" s="39">
        <f t="shared" si="3"/>
        <v>2069</v>
      </c>
      <c r="AU50" s="39">
        <f t="shared" si="3"/>
        <v>2070</v>
      </c>
    </row>
    <row r="51" spans="2:47" s="15" customFormat="1" ht="13.5" outlineLevel="1" x14ac:dyDescent="0.25">
      <c r="B51" s="703" t="s">
        <v>915</v>
      </c>
      <c r="C51" s="780">
        <f t="shared" ref="C51:AU51" si="4">IF(OR(C50&lt;$C$7,C50&gt;$C$8),0,$C$23)</f>
        <v>242796.62454784007</v>
      </c>
      <c r="D51" s="780">
        <f t="shared" si="4"/>
        <v>242796.62454784007</v>
      </c>
      <c r="E51" s="780">
        <f t="shared" si="4"/>
        <v>242796.62454784007</v>
      </c>
      <c r="F51" s="780">
        <f t="shared" si="4"/>
        <v>242796.62454784007</v>
      </c>
      <c r="G51" s="780">
        <f t="shared" si="4"/>
        <v>242796.62454784007</v>
      </c>
      <c r="H51" s="780">
        <f t="shared" si="4"/>
        <v>242796.62454784007</v>
      </c>
      <c r="I51" s="780">
        <f t="shared" si="4"/>
        <v>242796.62454784007</v>
      </c>
      <c r="J51" s="780">
        <f t="shared" si="4"/>
        <v>242796.62454784007</v>
      </c>
      <c r="K51" s="780">
        <f t="shared" si="4"/>
        <v>242796.62454784007</v>
      </c>
      <c r="L51" s="780">
        <f t="shared" si="4"/>
        <v>242796.62454784007</v>
      </c>
      <c r="M51" s="780">
        <f t="shared" si="4"/>
        <v>242796.62454784007</v>
      </c>
      <c r="N51" s="780">
        <f t="shared" si="4"/>
        <v>242796.62454784007</v>
      </c>
      <c r="O51" s="780">
        <f t="shared" si="4"/>
        <v>242796.62454784007</v>
      </c>
      <c r="P51" s="780">
        <f t="shared" si="4"/>
        <v>242796.62454784007</v>
      </c>
      <c r="Q51" s="780">
        <f t="shared" si="4"/>
        <v>242796.62454784007</v>
      </c>
      <c r="R51" s="780">
        <f t="shared" si="4"/>
        <v>242796.62454784007</v>
      </c>
      <c r="S51" s="780">
        <f t="shared" si="4"/>
        <v>242796.62454784007</v>
      </c>
      <c r="T51" s="780">
        <f t="shared" si="4"/>
        <v>242796.62454784007</v>
      </c>
      <c r="U51" s="780">
        <f t="shared" si="4"/>
        <v>242796.62454784007</v>
      </c>
      <c r="V51" s="780">
        <f t="shared" si="4"/>
        <v>242796.62454784007</v>
      </c>
      <c r="W51" s="780">
        <f t="shared" si="4"/>
        <v>242796.62454784007</v>
      </c>
      <c r="X51" s="780">
        <f t="shared" si="4"/>
        <v>242796.62454784007</v>
      </c>
      <c r="Y51" s="780">
        <f t="shared" si="4"/>
        <v>242796.62454784007</v>
      </c>
      <c r="Z51" s="780">
        <f t="shared" si="4"/>
        <v>242796.62454784007</v>
      </c>
      <c r="AA51" s="780">
        <f t="shared" si="4"/>
        <v>242796.62454784007</v>
      </c>
      <c r="AB51" s="780">
        <f t="shared" si="4"/>
        <v>0</v>
      </c>
      <c r="AC51" s="780">
        <f t="shared" si="4"/>
        <v>0</v>
      </c>
      <c r="AD51" s="780">
        <f t="shared" si="4"/>
        <v>0</v>
      </c>
      <c r="AE51" s="780">
        <f t="shared" si="4"/>
        <v>0</v>
      </c>
      <c r="AF51" s="780">
        <f t="shared" si="4"/>
        <v>0</v>
      </c>
      <c r="AG51" s="780">
        <f t="shared" si="4"/>
        <v>0</v>
      </c>
      <c r="AH51" s="780">
        <f t="shared" si="4"/>
        <v>0</v>
      </c>
      <c r="AI51" s="780">
        <f t="shared" si="4"/>
        <v>0</v>
      </c>
      <c r="AJ51" s="780">
        <f t="shared" si="4"/>
        <v>0</v>
      </c>
      <c r="AK51" s="780">
        <f t="shared" si="4"/>
        <v>0</v>
      </c>
      <c r="AL51" s="780">
        <f t="shared" si="4"/>
        <v>0</v>
      </c>
      <c r="AM51" s="780">
        <f t="shared" si="4"/>
        <v>0</v>
      </c>
      <c r="AN51" s="780">
        <f t="shared" si="4"/>
        <v>0</v>
      </c>
      <c r="AO51" s="780">
        <f t="shared" si="4"/>
        <v>0</v>
      </c>
      <c r="AP51" s="780">
        <f t="shared" si="4"/>
        <v>0</v>
      </c>
      <c r="AQ51" s="780">
        <f t="shared" si="4"/>
        <v>0</v>
      </c>
      <c r="AR51" s="780">
        <f t="shared" si="4"/>
        <v>0</v>
      </c>
      <c r="AS51" s="780">
        <f t="shared" si="4"/>
        <v>0</v>
      </c>
      <c r="AT51" s="780">
        <f t="shared" si="4"/>
        <v>0</v>
      </c>
      <c r="AU51" s="780">
        <f t="shared" si="4"/>
        <v>0</v>
      </c>
    </row>
    <row r="52" spans="2:47" s="15" customFormat="1" ht="13.5" outlineLevel="1" x14ac:dyDescent="0.25">
      <c r="B52" s="703" t="s">
        <v>916</v>
      </c>
      <c r="C52" s="780">
        <v>1</v>
      </c>
      <c r="D52" s="780">
        <f>C52+1-IF(ISERROR(HLOOKUP(D50-$C$29,$C$50:$AG$51,2,FALSE)),0,1)</f>
        <v>2</v>
      </c>
      <c r="E52" s="780">
        <f t="shared" ref="E52:AU52" si="5">D52+1-IF(ISERROR(HLOOKUP(E50-$C$29,$C$50:$AG$51,2,FALSE)),0,1)</f>
        <v>3</v>
      </c>
      <c r="F52" s="780">
        <f t="shared" si="5"/>
        <v>4</v>
      </c>
      <c r="G52" s="780">
        <f t="shared" si="5"/>
        <v>5</v>
      </c>
      <c r="H52" s="780">
        <f t="shared" si="5"/>
        <v>6</v>
      </c>
      <c r="I52" s="780">
        <f t="shared" si="5"/>
        <v>7</v>
      </c>
      <c r="J52" s="780">
        <f t="shared" si="5"/>
        <v>8</v>
      </c>
      <c r="K52" s="780">
        <f t="shared" si="5"/>
        <v>9</v>
      </c>
      <c r="L52" s="780">
        <f t="shared" si="5"/>
        <v>10</v>
      </c>
      <c r="M52" s="780">
        <f t="shared" si="5"/>
        <v>11</v>
      </c>
      <c r="N52" s="780">
        <f t="shared" si="5"/>
        <v>12</v>
      </c>
      <c r="O52" s="780">
        <f t="shared" si="5"/>
        <v>13</v>
      </c>
      <c r="P52" s="780">
        <f t="shared" si="5"/>
        <v>14</v>
      </c>
      <c r="Q52" s="780">
        <f t="shared" si="5"/>
        <v>15</v>
      </c>
      <c r="R52" s="780">
        <f t="shared" si="5"/>
        <v>16</v>
      </c>
      <c r="S52" s="780">
        <f t="shared" si="5"/>
        <v>17</v>
      </c>
      <c r="T52" s="780">
        <f t="shared" si="5"/>
        <v>18</v>
      </c>
      <c r="U52" s="780">
        <f t="shared" si="5"/>
        <v>19</v>
      </c>
      <c r="V52" s="780">
        <f t="shared" si="5"/>
        <v>20</v>
      </c>
      <c r="W52" s="780">
        <f t="shared" si="5"/>
        <v>21</v>
      </c>
      <c r="X52" s="780">
        <f t="shared" si="5"/>
        <v>22</v>
      </c>
      <c r="Y52" s="780">
        <f t="shared" si="5"/>
        <v>23</v>
      </c>
      <c r="Z52" s="780">
        <f t="shared" si="5"/>
        <v>24</v>
      </c>
      <c r="AA52" s="780">
        <f t="shared" si="5"/>
        <v>25</v>
      </c>
      <c r="AB52" s="780">
        <f t="shared" si="5"/>
        <v>25</v>
      </c>
      <c r="AC52" s="780">
        <f t="shared" si="5"/>
        <v>25</v>
      </c>
      <c r="AD52" s="780">
        <f t="shared" si="5"/>
        <v>25</v>
      </c>
      <c r="AE52" s="780">
        <f t="shared" si="5"/>
        <v>25</v>
      </c>
      <c r="AF52" s="780">
        <f t="shared" si="5"/>
        <v>25</v>
      </c>
      <c r="AG52" s="780">
        <f t="shared" si="5"/>
        <v>25</v>
      </c>
      <c r="AH52" s="780">
        <f t="shared" si="5"/>
        <v>25</v>
      </c>
      <c r="AI52" s="780">
        <f t="shared" si="5"/>
        <v>25</v>
      </c>
      <c r="AJ52" s="780">
        <f t="shared" si="5"/>
        <v>25</v>
      </c>
      <c r="AK52" s="780">
        <f t="shared" si="5"/>
        <v>25</v>
      </c>
      <c r="AL52" s="780">
        <f t="shared" si="5"/>
        <v>25</v>
      </c>
      <c r="AM52" s="780">
        <f t="shared" si="5"/>
        <v>25</v>
      </c>
      <c r="AN52" s="780">
        <f t="shared" si="5"/>
        <v>25</v>
      </c>
      <c r="AO52" s="780">
        <f t="shared" si="5"/>
        <v>25</v>
      </c>
      <c r="AP52" s="780">
        <f t="shared" si="5"/>
        <v>25</v>
      </c>
      <c r="AQ52" s="780">
        <f t="shared" si="5"/>
        <v>25</v>
      </c>
      <c r="AR52" s="780">
        <f t="shared" si="5"/>
        <v>25</v>
      </c>
      <c r="AS52" s="780">
        <f t="shared" si="5"/>
        <v>25</v>
      </c>
      <c r="AT52" s="780">
        <f t="shared" si="5"/>
        <v>25</v>
      </c>
      <c r="AU52" s="780">
        <f t="shared" si="5"/>
        <v>25</v>
      </c>
    </row>
    <row r="53" spans="2:47" s="15" customFormat="1" ht="13.5" outlineLevel="1" x14ac:dyDescent="0.25">
      <c r="B53" s="703"/>
      <c r="C53" s="703"/>
      <c r="D53" s="703"/>
      <c r="E53" s="703"/>
      <c r="F53" s="703"/>
      <c r="G53" s="703"/>
      <c r="H53" s="703"/>
      <c r="I53" s="703"/>
      <c r="J53" s="703"/>
      <c r="K53" s="703"/>
      <c r="L53" s="703"/>
      <c r="M53" s="703"/>
      <c r="N53" s="703"/>
      <c r="O53" s="703"/>
      <c r="P53" s="703"/>
      <c r="Q53" s="703"/>
      <c r="R53" s="703"/>
      <c r="S53" s="703"/>
      <c r="T53" s="703"/>
      <c r="U53" s="703"/>
      <c r="V53" s="703"/>
      <c r="W53" s="703"/>
      <c r="X53" s="703"/>
      <c r="Y53" s="703"/>
      <c r="Z53" s="703"/>
      <c r="AA53" s="703"/>
      <c r="AB53" s="703"/>
      <c r="AC53" s="703"/>
      <c r="AD53" s="703"/>
      <c r="AE53" s="703"/>
      <c r="AF53" s="703"/>
      <c r="AG53" s="703"/>
      <c r="AH53" s="703"/>
      <c r="AI53" s="703"/>
      <c r="AJ53" s="703"/>
      <c r="AK53" s="703"/>
      <c r="AL53" s="703"/>
      <c r="AM53" s="703"/>
      <c r="AN53" s="703"/>
      <c r="AO53" s="703"/>
      <c r="AP53" s="703"/>
      <c r="AQ53" s="703"/>
      <c r="AR53" s="703"/>
      <c r="AS53" s="703"/>
      <c r="AT53" s="703"/>
      <c r="AU53" s="703"/>
    </row>
    <row r="54" spans="2:47" s="15" customFormat="1" ht="13.5" outlineLevel="1" x14ac:dyDescent="0.25">
      <c r="B54" s="703" t="s">
        <v>917</v>
      </c>
      <c r="C54" s="780">
        <f t="shared" ref="C54:AU54" si="6">C51*$C$24/1000</f>
        <v>369732.05519724061</v>
      </c>
      <c r="D54" s="780">
        <f t="shared" si="6"/>
        <v>369732.05519724061</v>
      </c>
      <c r="E54" s="780">
        <f t="shared" si="6"/>
        <v>369732.05519724061</v>
      </c>
      <c r="F54" s="780">
        <f t="shared" si="6"/>
        <v>369732.05519724061</v>
      </c>
      <c r="G54" s="780">
        <f t="shared" si="6"/>
        <v>369732.05519724061</v>
      </c>
      <c r="H54" s="780">
        <f t="shared" si="6"/>
        <v>369732.05519724061</v>
      </c>
      <c r="I54" s="780">
        <f t="shared" si="6"/>
        <v>369732.05519724061</v>
      </c>
      <c r="J54" s="780">
        <f t="shared" si="6"/>
        <v>369732.05519724061</v>
      </c>
      <c r="K54" s="780">
        <f t="shared" si="6"/>
        <v>369732.05519724061</v>
      </c>
      <c r="L54" s="780">
        <f t="shared" si="6"/>
        <v>369732.05519724061</v>
      </c>
      <c r="M54" s="780">
        <f t="shared" si="6"/>
        <v>369732.05519724061</v>
      </c>
      <c r="N54" s="780">
        <f t="shared" si="6"/>
        <v>369732.05519724061</v>
      </c>
      <c r="O54" s="780">
        <f t="shared" si="6"/>
        <v>369732.05519724061</v>
      </c>
      <c r="P54" s="780">
        <f t="shared" si="6"/>
        <v>369732.05519724061</v>
      </c>
      <c r="Q54" s="780">
        <f t="shared" si="6"/>
        <v>369732.05519724061</v>
      </c>
      <c r="R54" s="780">
        <f t="shared" si="6"/>
        <v>369732.05519724061</v>
      </c>
      <c r="S54" s="780">
        <f t="shared" si="6"/>
        <v>369732.05519724061</v>
      </c>
      <c r="T54" s="780">
        <f t="shared" si="6"/>
        <v>369732.05519724061</v>
      </c>
      <c r="U54" s="780">
        <f t="shared" si="6"/>
        <v>369732.05519724061</v>
      </c>
      <c r="V54" s="780">
        <f t="shared" si="6"/>
        <v>369732.05519724061</v>
      </c>
      <c r="W54" s="780">
        <f t="shared" si="6"/>
        <v>369732.05519724061</v>
      </c>
      <c r="X54" s="780">
        <f t="shared" si="6"/>
        <v>369732.05519724061</v>
      </c>
      <c r="Y54" s="780">
        <f t="shared" si="6"/>
        <v>369732.05519724061</v>
      </c>
      <c r="Z54" s="780">
        <f t="shared" si="6"/>
        <v>369732.05519724061</v>
      </c>
      <c r="AA54" s="780">
        <f t="shared" si="6"/>
        <v>369732.05519724061</v>
      </c>
      <c r="AB54" s="780">
        <f t="shared" si="6"/>
        <v>0</v>
      </c>
      <c r="AC54" s="780">
        <f t="shared" si="6"/>
        <v>0</v>
      </c>
      <c r="AD54" s="780">
        <f t="shared" si="6"/>
        <v>0</v>
      </c>
      <c r="AE54" s="780">
        <f t="shared" si="6"/>
        <v>0</v>
      </c>
      <c r="AF54" s="780">
        <f t="shared" si="6"/>
        <v>0</v>
      </c>
      <c r="AG54" s="780">
        <f t="shared" si="6"/>
        <v>0</v>
      </c>
      <c r="AH54" s="780">
        <f t="shared" si="6"/>
        <v>0</v>
      </c>
      <c r="AI54" s="780">
        <f t="shared" si="6"/>
        <v>0</v>
      </c>
      <c r="AJ54" s="780">
        <f t="shared" si="6"/>
        <v>0</v>
      </c>
      <c r="AK54" s="780">
        <f t="shared" si="6"/>
        <v>0</v>
      </c>
      <c r="AL54" s="780">
        <f t="shared" si="6"/>
        <v>0</v>
      </c>
      <c r="AM54" s="780">
        <f t="shared" si="6"/>
        <v>0</v>
      </c>
      <c r="AN54" s="780">
        <f t="shared" si="6"/>
        <v>0</v>
      </c>
      <c r="AO54" s="780">
        <f t="shared" si="6"/>
        <v>0</v>
      </c>
      <c r="AP54" s="780">
        <f t="shared" si="6"/>
        <v>0</v>
      </c>
      <c r="AQ54" s="780">
        <f t="shared" si="6"/>
        <v>0</v>
      </c>
      <c r="AR54" s="780">
        <f t="shared" si="6"/>
        <v>0</v>
      </c>
      <c r="AS54" s="780">
        <f t="shared" si="6"/>
        <v>0</v>
      </c>
      <c r="AT54" s="780">
        <f t="shared" si="6"/>
        <v>0</v>
      </c>
      <c r="AU54" s="780">
        <f t="shared" si="6"/>
        <v>0</v>
      </c>
    </row>
    <row r="55" spans="2:47" s="15" customFormat="1" ht="13.5" outlineLevel="1" x14ac:dyDescent="0.25">
      <c r="B55" s="703" t="s">
        <v>918</v>
      </c>
      <c r="C55" s="780">
        <f>(C69*$C$25+C71*$C$27)/1000</f>
        <v>1331.5417764172996</v>
      </c>
      <c r="D55" s="780">
        <f t="shared" ref="D55:AU55" si="7">D68*$C$25/1000</f>
        <v>4604.2167025563476</v>
      </c>
      <c r="E55" s="780">
        <f t="shared" si="7"/>
        <v>6906.3250538345228</v>
      </c>
      <c r="F55" s="780">
        <f t="shared" si="7"/>
        <v>9208.4334051126953</v>
      </c>
      <c r="G55" s="780">
        <f t="shared" si="7"/>
        <v>11510.541756390872</v>
      </c>
      <c r="H55" s="780">
        <f t="shared" si="7"/>
        <v>13812.650107669046</v>
      </c>
      <c r="I55" s="780">
        <f t="shared" si="7"/>
        <v>16114.758458947219</v>
      </c>
      <c r="J55" s="780">
        <f t="shared" si="7"/>
        <v>18416.866810225391</v>
      </c>
      <c r="K55" s="780">
        <f t="shared" si="7"/>
        <v>20718.975161503568</v>
      </c>
      <c r="L55" s="780">
        <f t="shared" si="7"/>
        <v>23021.083512781745</v>
      </c>
      <c r="M55" s="780">
        <f t="shared" si="7"/>
        <v>25323.191864059914</v>
      </c>
      <c r="N55" s="780">
        <f t="shared" si="7"/>
        <v>27625.300215338091</v>
      </c>
      <c r="O55" s="780">
        <f t="shared" si="7"/>
        <v>29927.408566616268</v>
      </c>
      <c r="P55" s="780">
        <f t="shared" si="7"/>
        <v>32229.516917894438</v>
      </c>
      <c r="Q55" s="780">
        <f t="shared" si="7"/>
        <v>34531.625269172626</v>
      </c>
      <c r="R55" s="780">
        <f t="shared" si="7"/>
        <v>36833.733620450781</v>
      </c>
      <c r="S55" s="780">
        <f t="shared" si="7"/>
        <v>39135.841971728958</v>
      </c>
      <c r="T55" s="780">
        <f t="shared" si="7"/>
        <v>41437.950323007135</v>
      </c>
      <c r="U55" s="780">
        <f t="shared" si="7"/>
        <v>43740.058674285305</v>
      </c>
      <c r="V55" s="780">
        <f t="shared" si="7"/>
        <v>46042.167025563489</v>
      </c>
      <c r="W55" s="780">
        <f t="shared" si="7"/>
        <v>48344.275376841659</v>
      </c>
      <c r="X55" s="780">
        <f t="shared" si="7"/>
        <v>50646.383728119828</v>
      </c>
      <c r="Y55" s="780">
        <f t="shared" si="7"/>
        <v>52948.492079398013</v>
      </c>
      <c r="Z55" s="780">
        <f t="shared" si="7"/>
        <v>55250.600430676182</v>
      </c>
      <c r="AA55" s="780">
        <f t="shared" si="7"/>
        <v>57552.708781954359</v>
      </c>
      <c r="AB55" s="780">
        <f t="shared" si="7"/>
        <v>57552.708781954359</v>
      </c>
      <c r="AC55" s="780">
        <f t="shared" si="7"/>
        <v>57552.708781954359</v>
      </c>
      <c r="AD55" s="780">
        <f t="shared" si="7"/>
        <v>57552.708781954359</v>
      </c>
      <c r="AE55" s="780">
        <f t="shared" si="7"/>
        <v>57552.708781954359</v>
      </c>
      <c r="AF55" s="780">
        <f t="shared" si="7"/>
        <v>57552.708781954359</v>
      </c>
      <c r="AG55" s="780">
        <f t="shared" si="7"/>
        <v>57552.708781954359</v>
      </c>
      <c r="AH55" s="780">
        <f t="shared" si="7"/>
        <v>57552.708781954359</v>
      </c>
      <c r="AI55" s="780">
        <f t="shared" si="7"/>
        <v>57552.708781954359</v>
      </c>
      <c r="AJ55" s="780">
        <f t="shared" si="7"/>
        <v>57552.708781954359</v>
      </c>
      <c r="AK55" s="780">
        <f t="shared" si="7"/>
        <v>57552.708781954359</v>
      </c>
      <c r="AL55" s="780">
        <f t="shared" si="7"/>
        <v>57552.708781954359</v>
      </c>
      <c r="AM55" s="780">
        <f t="shared" si="7"/>
        <v>57552.708781954359</v>
      </c>
      <c r="AN55" s="780">
        <f t="shared" si="7"/>
        <v>57552.708781954359</v>
      </c>
      <c r="AO55" s="780">
        <f t="shared" si="7"/>
        <v>57552.708781954359</v>
      </c>
      <c r="AP55" s="780">
        <f t="shared" si="7"/>
        <v>57552.708781954359</v>
      </c>
      <c r="AQ55" s="780">
        <f t="shared" si="7"/>
        <v>57552.708781954359</v>
      </c>
      <c r="AR55" s="780">
        <f t="shared" si="7"/>
        <v>57552.708781954359</v>
      </c>
      <c r="AS55" s="780">
        <f t="shared" si="7"/>
        <v>57552.708781954359</v>
      </c>
      <c r="AT55" s="780">
        <f t="shared" si="7"/>
        <v>57552.708781954359</v>
      </c>
      <c r="AU55" s="780">
        <f t="shared" si="7"/>
        <v>57552.708781954359</v>
      </c>
    </row>
    <row r="56" spans="2:47" s="15" customFormat="1" ht="13.5" outlineLevel="1" x14ac:dyDescent="0.25">
      <c r="B56" s="702" t="s">
        <v>919</v>
      </c>
      <c r="C56" s="781">
        <f>C54-C55</f>
        <v>368400.51342082332</v>
      </c>
      <c r="D56" s="781">
        <f t="shared" ref="D56:AU56" si="8">D54-D55</f>
        <v>365127.83849468426</v>
      </c>
      <c r="E56" s="781">
        <f t="shared" si="8"/>
        <v>362825.73014340608</v>
      </c>
      <c r="F56" s="781">
        <f t="shared" si="8"/>
        <v>360523.6217921279</v>
      </c>
      <c r="G56" s="781">
        <f t="shared" si="8"/>
        <v>358221.51344084973</v>
      </c>
      <c r="H56" s="781">
        <f t="shared" si="8"/>
        <v>355919.40508957155</v>
      </c>
      <c r="I56" s="781">
        <f t="shared" si="8"/>
        <v>353617.29673829337</v>
      </c>
      <c r="J56" s="781">
        <f t="shared" si="8"/>
        <v>351315.18838701519</v>
      </c>
      <c r="K56" s="781">
        <f t="shared" si="8"/>
        <v>349013.08003573702</v>
      </c>
      <c r="L56" s="781">
        <f t="shared" si="8"/>
        <v>346710.97168445884</v>
      </c>
      <c r="M56" s="781">
        <f t="shared" si="8"/>
        <v>344408.86333318072</v>
      </c>
      <c r="N56" s="781">
        <f t="shared" si="8"/>
        <v>342106.75498190254</v>
      </c>
      <c r="O56" s="781">
        <f t="shared" si="8"/>
        <v>339804.64663062437</v>
      </c>
      <c r="P56" s="781">
        <f t="shared" si="8"/>
        <v>337502.53827934619</v>
      </c>
      <c r="Q56" s="781">
        <f t="shared" si="8"/>
        <v>335200.42992806796</v>
      </c>
      <c r="R56" s="781">
        <f t="shared" si="8"/>
        <v>332898.32157678984</v>
      </c>
      <c r="S56" s="781">
        <f t="shared" si="8"/>
        <v>330596.21322551166</v>
      </c>
      <c r="T56" s="781">
        <f t="shared" si="8"/>
        <v>328294.10487423348</v>
      </c>
      <c r="U56" s="781">
        <f t="shared" si="8"/>
        <v>325991.99652295531</v>
      </c>
      <c r="V56" s="781">
        <f t="shared" si="8"/>
        <v>323689.88817167713</v>
      </c>
      <c r="W56" s="781">
        <f t="shared" si="8"/>
        <v>321387.77982039895</v>
      </c>
      <c r="X56" s="781">
        <f t="shared" si="8"/>
        <v>319085.67146912077</v>
      </c>
      <c r="Y56" s="781">
        <f t="shared" si="8"/>
        <v>316783.5631178426</v>
      </c>
      <c r="Z56" s="781">
        <f t="shared" si="8"/>
        <v>314481.45476656442</v>
      </c>
      <c r="AA56" s="781">
        <f t="shared" si="8"/>
        <v>312179.34641528624</v>
      </c>
      <c r="AB56" s="781">
        <f t="shared" si="8"/>
        <v>-57552.708781954359</v>
      </c>
      <c r="AC56" s="781">
        <f t="shared" si="8"/>
        <v>-57552.708781954359</v>
      </c>
      <c r="AD56" s="781">
        <f t="shared" si="8"/>
        <v>-57552.708781954359</v>
      </c>
      <c r="AE56" s="781">
        <f t="shared" si="8"/>
        <v>-57552.708781954359</v>
      </c>
      <c r="AF56" s="781">
        <f t="shared" si="8"/>
        <v>-57552.708781954359</v>
      </c>
      <c r="AG56" s="781">
        <f t="shared" si="8"/>
        <v>-57552.708781954359</v>
      </c>
      <c r="AH56" s="781">
        <f t="shared" si="8"/>
        <v>-57552.708781954359</v>
      </c>
      <c r="AI56" s="781">
        <f t="shared" si="8"/>
        <v>-57552.708781954359</v>
      </c>
      <c r="AJ56" s="781">
        <f t="shared" si="8"/>
        <v>-57552.708781954359</v>
      </c>
      <c r="AK56" s="781">
        <f t="shared" si="8"/>
        <v>-57552.708781954359</v>
      </c>
      <c r="AL56" s="781">
        <f t="shared" si="8"/>
        <v>-57552.708781954359</v>
      </c>
      <c r="AM56" s="781">
        <f t="shared" si="8"/>
        <v>-57552.708781954359</v>
      </c>
      <c r="AN56" s="781">
        <f t="shared" si="8"/>
        <v>-57552.708781954359</v>
      </c>
      <c r="AO56" s="781">
        <f t="shared" si="8"/>
        <v>-57552.708781954359</v>
      </c>
      <c r="AP56" s="781">
        <f t="shared" si="8"/>
        <v>-57552.708781954359</v>
      </c>
      <c r="AQ56" s="781">
        <f t="shared" si="8"/>
        <v>-57552.708781954359</v>
      </c>
      <c r="AR56" s="781">
        <f t="shared" si="8"/>
        <v>-57552.708781954359</v>
      </c>
      <c r="AS56" s="781">
        <f t="shared" si="8"/>
        <v>-57552.708781954359</v>
      </c>
      <c r="AT56" s="781">
        <f t="shared" si="8"/>
        <v>-57552.708781954359</v>
      </c>
      <c r="AU56" s="781">
        <f t="shared" si="8"/>
        <v>-57552.708781954359</v>
      </c>
    </row>
    <row r="57" spans="2:47" outlineLevel="1" x14ac:dyDescent="0.25">
      <c r="B57" s="39" t="s">
        <v>920</v>
      </c>
    </row>
    <row r="58" spans="2:47" s="15" customFormat="1" ht="13.5" outlineLevel="1" x14ac:dyDescent="0.25">
      <c r="B58" s="226" t="s">
        <v>921</v>
      </c>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row>
    <row r="59" spans="2:47" s="15" customFormat="1" ht="13.5" outlineLevel="1" x14ac:dyDescent="0.25">
      <c r="B59" s="227" t="s">
        <v>922</v>
      </c>
      <c r="C59" s="40">
        <f t="shared" ref="C59:AU59" si="9">SUMPRODUCT($E$12:$E$19,$F$12:$F$19,$J$12:$J$19)/1000*C52/$C$9</f>
        <v>6526.0461908128009</v>
      </c>
      <c r="D59" s="40">
        <f t="shared" si="9"/>
        <v>13052.092381625602</v>
      </c>
      <c r="E59" s="40">
        <f t="shared" si="9"/>
        <v>19578.138572438402</v>
      </c>
      <c r="F59" s="40">
        <f t="shared" si="9"/>
        <v>26104.184763251204</v>
      </c>
      <c r="G59" s="40">
        <f t="shared" si="9"/>
        <v>32630.230954064005</v>
      </c>
      <c r="H59" s="40">
        <f t="shared" si="9"/>
        <v>39156.277144876804</v>
      </c>
      <c r="I59" s="40">
        <f t="shared" si="9"/>
        <v>45682.323335689602</v>
      </c>
      <c r="J59" s="40">
        <f t="shared" si="9"/>
        <v>52208.369526502407</v>
      </c>
      <c r="K59" s="40">
        <f t="shared" si="9"/>
        <v>58734.415717315205</v>
      </c>
      <c r="L59" s="40">
        <f t="shared" si="9"/>
        <v>65260.461908128011</v>
      </c>
      <c r="M59" s="40">
        <f t="shared" si="9"/>
        <v>71786.508098940816</v>
      </c>
      <c r="N59" s="40">
        <f t="shared" si="9"/>
        <v>78312.554289753607</v>
      </c>
      <c r="O59" s="40">
        <f t="shared" si="9"/>
        <v>84838.600480566412</v>
      </c>
      <c r="P59" s="40">
        <f t="shared" si="9"/>
        <v>91364.646671379203</v>
      </c>
      <c r="Q59" s="40">
        <f t="shared" si="9"/>
        <v>97890.692862192023</v>
      </c>
      <c r="R59" s="40">
        <f t="shared" si="9"/>
        <v>104416.73905300481</v>
      </c>
      <c r="S59" s="40">
        <f t="shared" si="9"/>
        <v>110942.78524381761</v>
      </c>
      <c r="T59" s="40">
        <f t="shared" si="9"/>
        <v>117468.83143463041</v>
      </c>
      <c r="U59" s="40">
        <f t="shared" si="9"/>
        <v>123994.87762544322</v>
      </c>
      <c r="V59" s="40">
        <f t="shared" si="9"/>
        <v>130520.92381625602</v>
      </c>
      <c r="W59" s="40">
        <f t="shared" si="9"/>
        <v>137046.97000706883</v>
      </c>
      <c r="X59" s="40">
        <f t="shared" si="9"/>
        <v>143573.01619788163</v>
      </c>
      <c r="Y59" s="40">
        <f t="shared" si="9"/>
        <v>150099.06238869441</v>
      </c>
      <c r="Z59" s="40">
        <f t="shared" si="9"/>
        <v>156625.10857950721</v>
      </c>
      <c r="AA59" s="40">
        <f t="shared" si="9"/>
        <v>163151.15477032002</v>
      </c>
      <c r="AB59" s="40">
        <f t="shared" si="9"/>
        <v>163151.15477032002</v>
      </c>
      <c r="AC59" s="40">
        <f t="shared" si="9"/>
        <v>163151.15477032002</v>
      </c>
      <c r="AD59" s="40">
        <f t="shared" si="9"/>
        <v>163151.15477032002</v>
      </c>
      <c r="AE59" s="40">
        <f t="shared" si="9"/>
        <v>163151.15477032002</v>
      </c>
      <c r="AF59" s="40">
        <f t="shared" si="9"/>
        <v>163151.15477032002</v>
      </c>
      <c r="AG59" s="40">
        <f t="shared" si="9"/>
        <v>163151.15477032002</v>
      </c>
      <c r="AH59" s="40">
        <f t="shared" si="9"/>
        <v>163151.15477032002</v>
      </c>
      <c r="AI59" s="40">
        <f t="shared" si="9"/>
        <v>163151.15477032002</v>
      </c>
      <c r="AJ59" s="40">
        <f t="shared" si="9"/>
        <v>163151.15477032002</v>
      </c>
      <c r="AK59" s="40">
        <f t="shared" si="9"/>
        <v>163151.15477032002</v>
      </c>
      <c r="AL59" s="40">
        <f t="shared" si="9"/>
        <v>163151.15477032002</v>
      </c>
      <c r="AM59" s="40">
        <f t="shared" si="9"/>
        <v>163151.15477032002</v>
      </c>
      <c r="AN59" s="40">
        <f t="shared" si="9"/>
        <v>163151.15477032002</v>
      </c>
      <c r="AO59" s="40">
        <f t="shared" si="9"/>
        <v>163151.15477032002</v>
      </c>
      <c r="AP59" s="40">
        <f t="shared" si="9"/>
        <v>163151.15477032002</v>
      </c>
      <c r="AQ59" s="40">
        <f t="shared" si="9"/>
        <v>163151.15477032002</v>
      </c>
      <c r="AR59" s="40">
        <f t="shared" si="9"/>
        <v>163151.15477032002</v>
      </c>
      <c r="AS59" s="40">
        <f t="shared" si="9"/>
        <v>163151.15477032002</v>
      </c>
      <c r="AT59" s="40">
        <f t="shared" si="9"/>
        <v>163151.15477032002</v>
      </c>
      <c r="AU59" s="40">
        <f t="shared" si="9"/>
        <v>163151.15477032002</v>
      </c>
    </row>
    <row r="60" spans="2:47" s="15" customFormat="1" ht="13.5" outlineLevel="1" x14ac:dyDescent="0.25">
      <c r="B60" s="227" t="s">
        <v>923</v>
      </c>
      <c r="C60" s="40">
        <f t="shared" ref="C60:AU60" si="10">SUMPRODUCT($E$12:$E$19,$F$12:$F$19,$L$12:$L$19)/1000*C52/$C$9</f>
        <v>6677.4766718880019</v>
      </c>
      <c r="D60" s="40">
        <f t="shared" si="10"/>
        <v>13354.953343776004</v>
      </c>
      <c r="E60" s="40">
        <f t="shared" si="10"/>
        <v>20032.430015664006</v>
      </c>
      <c r="F60" s="40">
        <f t="shared" si="10"/>
        <v>26709.906687552007</v>
      </c>
      <c r="G60" s="40">
        <f t="shared" si="10"/>
        <v>33387.383359440006</v>
      </c>
      <c r="H60" s="40">
        <f t="shared" si="10"/>
        <v>40064.860031328011</v>
      </c>
      <c r="I60" s="40">
        <f t="shared" si="10"/>
        <v>46742.336703216017</v>
      </c>
      <c r="J60" s="40">
        <f t="shared" si="10"/>
        <v>53419.813375104015</v>
      </c>
      <c r="K60" s="40">
        <f t="shared" si="10"/>
        <v>60097.290046992013</v>
      </c>
      <c r="L60" s="40">
        <f t="shared" si="10"/>
        <v>66774.766718880011</v>
      </c>
      <c r="M60" s="40">
        <f t="shared" si="10"/>
        <v>73452.243390768024</v>
      </c>
      <c r="N60" s="40">
        <f t="shared" si="10"/>
        <v>80129.720062656022</v>
      </c>
      <c r="O60" s="40">
        <f t="shared" si="10"/>
        <v>86807.196734544021</v>
      </c>
      <c r="P60" s="40">
        <f t="shared" si="10"/>
        <v>93484.673406432034</v>
      </c>
      <c r="Q60" s="40">
        <f t="shared" si="10"/>
        <v>100162.15007832002</v>
      </c>
      <c r="R60" s="40">
        <f t="shared" si="10"/>
        <v>106839.62675020803</v>
      </c>
      <c r="S60" s="40">
        <f t="shared" si="10"/>
        <v>113517.10342209604</v>
      </c>
      <c r="T60" s="40">
        <f t="shared" si="10"/>
        <v>120194.58009398403</v>
      </c>
      <c r="U60" s="40">
        <f t="shared" si="10"/>
        <v>126872.05676587204</v>
      </c>
      <c r="V60" s="40">
        <f t="shared" si="10"/>
        <v>133549.53343776002</v>
      </c>
      <c r="W60" s="40">
        <f t="shared" si="10"/>
        <v>140227.01010964802</v>
      </c>
      <c r="X60" s="40">
        <f t="shared" si="10"/>
        <v>146904.48678153605</v>
      </c>
      <c r="Y60" s="40">
        <f t="shared" si="10"/>
        <v>153581.96345342405</v>
      </c>
      <c r="Z60" s="40">
        <f t="shared" si="10"/>
        <v>160259.44012531204</v>
      </c>
      <c r="AA60" s="40">
        <f t="shared" si="10"/>
        <v>166936.91679720004</v>
      </c>
      <c r="AB60" s="40">
        <f t="shared" si="10"/>
        <v>166936.91679720004</v>
      </c>
      <c r="AC60" s="40">
        <f t="shared" si="10"/>
        <v>166936.91679720004</v>
      </c>
      <c r="AD60" s="40">
        <f t="shared" si="10"/>
        <v>166936.91679720004</v>
      </c>
      <c r="AE60" s="40">
        <f t="shared" si="10"/>
        <v>166936.91679720004</v>
      </c>
      <c r="AF60" s="40">
        <f t="shared" si="10"/>
        <v>166936.91679720004</v>
      </c>
      <c r="AG60" s="40">
        <f t="shared" si="10"/>
        <v>166936.91679720004</v>
      </c>
      <c r="AH60" s="40">
        <f t="shared" si="10"/>
        <v>166936.91679720004</v>
      </c>
      <c r="AI60" s="40">
        <f t="shared" si="10"/>
        <v>166936.91679720004</v>
      </c>
      <c r="AJ60" s="40">
        <f t="shared" si="10"/>
        <v>166936.91679720004</v>
      </c>
      <c r="AK60" s="40">
        <f t="shared" si="10"/>
        <v>166936.91679720004</v>
      </c>
      <c r="AL60" s="40">
        <f t="shared" si="10"/>
        <v>166936.91679720004</v>
      </c>
      <c r="AM60" s="40">
        <f t="shared" si="10"/>
        <v>166936.91679720004</v>
      </c>
      <c r="AN60" s="40">
        <f t="shared" si="10"/>
        <v>166936.91679720004</v>
      </c>
      <c r="AO60" s="40">
        <f t="shared" si="10"/>
        <v>166936.91679720004</v>
      </c>
      <c r="AP60" s="40">
        <f t="shared" si="10"/>
        <v>166936.91679720004</v>
      </c>
      <c r="AQ60" s="40">
        <f t="shared" si="10"/>
        <v>166936.91679720004</v>
      </c>
      <c r="AR60" s="40">
        <f t="shared" si="10"/>
        <v>166936.91679720004</v>
      </c>
      <c r="AS60" s="40">
        <f t="shared" si="10"/>
        <v>166936.91679720004</v>
      </c>
      <c r="AT60" s="40">
        <f t="shared" si="10"/>
        <v>166936.91679720004</v>
      </c>
      <c r="AU60" s="40">
        <f t="shared" si="10"/>
        <v>166936.91679720004</v>
      </c>
    </row>
    <row r="61" spans="2:47" s="15" customFormat="1" ht="13.5" outlineLevel="1" x14ac:dyDescent="0.25">
      <c r="B61" s="227" t="s">
        <v>924</v>
      </c>
      <c r="C61" s="40">
        <f t="shared" ref="C61:AU61" si="11">SUMPRODUCT($E$12:$E$19,$F$12:$F$19,$I$12:$I$19)/1000*C52/$C$9</f>
        <v>28266.332449427206</v>
      </c>
      <c r="D61" s="40">
        <f t="shared" si="11"/>
        <v>56532.664898854411</v>
      </c>
      <c r="E61" s="40">
        <f t="shared" si="11"/>
        <v>84798.997348281613</v>
      </c>
      <c r="F61" s="40">
        <f t="shared" si="11"/>
        <v>113065.32979770882</v>
      </c>
      <c r="G61" s="40">
        <f t="shared" si="11"/>
        <v>141331.66224713603</v>
      </c>
      <c r="H61" s="40">
        <f t="shared" si="11"/>
        <v>169597.99469656323</v>
      </c>
      <c r="I61" s="40">
        <f t="shared" si="11"/>
        <v>197864.32714599042</v>
      </c>
      <c r="J61" s="40">
        <f t="shared" si="11"/>
        <v>226130.65959541764</v>
      </c>
      <c r="K61" s="40">
        <f t="shared" si="11"/>
        <v>254396.99204484484</v>
      </c>
      <c r="L61" s="40">
        <f t="shared" si="11"/>
        <v>282663.32449427206</v>
      </c>
      <c r="M61" s="40">
        <f t="shared" si="11"/>
        <v>310929.65694369929</v>
      </c>
      <c r="N61" s="40">
        <f t="shared" si="11"/>
        <v>339195.98939312645</v>
      </c>
      <c r="O61" s="40">
        <f t="shared" si="11"/>
        <v>367462.32184255368</v>
      </c>
      <c r="P61" s="40">
        <f t="shared" si="11"/>
        <v>395728.65429198084</v>
      </c>
      <c r="Q61" s="40">
        <f t="shared" si="11"/>
        <v>423994.98674140812</v>
      </c>
      <c r="R61" s="40">
        <f t="shared" si="11"/>
        <v>452261.31919083529</v>
      </c>
      <c r="S61" s="40">
        <f t="shared" si="11"/>
        <v>480527.65164026245</v>
      </c>
      <c r="T61" s="40">
        <f t="shared" si="11"/>
        <v>508793.98408968968</v>
      </c>
      <c r="U61" s="40">
        <f t="shared" si="11"/>
        <v>537060.3165391169</v>
      </c>
      <c r="V61" s="40">
        <f t="shared" si="11"/>
        <v>565326.64898854413</v>
      </c>
      <c r="W61" s="40">
        <f t="shared" si="11"/>
        <v>593592.98143797135</v>
      </c>
      <c r="X61" s="40">
        <f t="shared" si="11"/>
        <v>621859.31388739857</v>
      </c>
      <c r="Y61" s="40">
        <f t="shared" si="11"/>
        <v>650125.64633682568</v>
      </c>
      <c r="Z61" s="40">
        <f t="shared" si="11"/>
        <v>678391.9787862529</v>
      </c>
      <c r="AA61" s="40">
        <f t="shared" si="11"/>
        <v>706658.31123568013</v>
      </c>
      <c r="AB61" s="40">
        <f t="shared" si="11"/>
        <v>706658.31123568013</v>
      </c>
      <c r="AC61" s="40">
        <f t="shared" si="11"/>
        <v>706658.31123568013</v>
      </c>
      <c r="AD61" s="40">
        <f t="shared" si="11"/>
        <v>706658.31123568013</v>
      </c>
      <c r="AE61" s="40">
        <f t="shared" si="11"/>
        <v>706658.31123568013</v>
      </c>
      <c r="AF61" s="40">
        <f t="shared" si="11"/>
        <v>706658.31123568013</v>
      </c>
      <c r="AG61" s="40">
        <f t="shared" si="11"/>
        <v>706658.31123568013</v>
      </c>
      <c r="AH61" s="40">
        <f t="shared" si="11"/>
        <v>706658.31123568013</v>
      </c>
      <c r="AI61" s="40">
        <f t="shared" si="11"/>
        <v>706658.31123568013</v>
      </c>
      <c r="AJ61" s="40">
        <f t="shared" si="11"/>
        <v>706658.31123568013</v>
      </c>
      <c r="AK61" s="40">
        <f t="shared" si="11"/>
        <v>706658.31123568013</v>
      </c>
      <c r="AL61" s="40">
        <f t="shared" si="11"/>
        <v>706658.31123568013</v>
      </c>
      <c r="AM61" s="40">
        <f t="shared" si="11"/>
        <v>706658.31123568013</v>
      </c>
      <c r="AN61" s="40">
        <f t="shared" si="11"/>
        <v>706658.31123568013</v>
      </c>
      <c r="AO61" s="40">
        <f t="shared" si="11"/>
        <v>706658.31123568013</v>
      </c>
      <c r="AP61" s="40">
        <f t="shared" si="11"/>
        <v>706658.31123568013</v>
      </c>
      <c r="AQ61" s="40">
        <f t="shared" si="11"/>
        <v>706658.31123568013</v>
      </c>
      <c r="AR61" s="40">
        <f t="shared" si="11"/>
        <v>706658.31123568013</v>
      </c>
      <c r="AS61" s="40">
        <f t="shared" si="11"/>
        <v>706658.31123568013</v>
      </c>
      <c r="AT61" s="40">
        <f t="shared" si="11"/>
        <v>706658.31123568013</v>
      </c>
      <c r="AU61" s="40">
        <f t="shared" si="11"/>
        <v>706658.31123568013</v>
      </c>
    </row>
    <row r="62" spans="2:47" s="15" customFormat="1" ht="13.5" outlineLevel="1" x14ac:dyDescent="0.25">
      <c r="B62" s="227" t="s">
        <v>925</v>
      </c>
      <c r="C62" s="40">
        <f t="shared" ref="C62:AU62" si="12">SUMPRODUCT($E$12:$E$19,$F$12:$F$19,$K$12:$K$19)/1000*C52/$C$9</f>
        <v>11804.7248946208</v>
      </c>
      <c r="D62" s="40">
        <f t="shared" si="12"/>
        <v>23609.4497892416</v>
      </c>
      <c r="E62" s="40">
        <f t="shared" si="12"/>
        <v>35414.174683862395</v>
      </c>
      <c r="F62" s="40">
        <f t="shared" si="12"/>
        <v>47218.8995784832</v>
      </c>
      <c r="G62" s="40">
        <f t="shared" si="12"/>
        <v>59023.624473103991</v>
      </c>
      <c r="H62" s="40">
        <f t="shared" si="12"/>
        <v>70828.34936772479</v>
      </c>
      <c r="I62" s="40">
        <f t="shared" si="12"/>
        <v>82633.074262345603</v>
      </c>
      <c r="J62" s="40">
        <f t="shared" si="12"/>
        <v>94437.799156966401</v>
      </c>
      <c r="K62" s="40">
        <f t="shared" si="12"/>
        <v>106242.52405158718</v>
      </c>
      <c r="L62" s="40">
        <f t="shared" si="12"/>
        <v>118047.24894620798</v>
      </c>
      <c r="M62" s="40">
        <f t="shared" si="12"/>
        <v>129851.9738408288</v>
      </c>
      <c r="N62" s="40">
        <f t="shared" si="12"/>
        <v>141656.69873544958</v>
      </c>
      <c r="O62" s="40">
        <f t="shared" si="12"/>
        <v>153461.42363007038</v>
      </c>
      <c r="P62" s="40">
        <f t="shared" si="12"/>
        <v>165266.14852469121</v>
      </c>
      <c r="Q62" s="40">
        <f t="shared" si="12"/>
        <v>177070.87341931197</v>
      </c>
      <c r="R62" s="40">
        <f t="shared" si="12"/>
        <v>188875.5983139328</v>
      </c>
      <c r="S62" s="40">
        <f t="shared" si="12"/>
        <v>200680.3232085536</v>
      </c>
      <c r="T62" s="40">
        <f t="shared" si="12"/>
        <v>212485.04810317437</v>
      </c>
      <c r="U62" s="40">
        <f t="shared" si="12"/>
        <v>224289.7729977952</v>
      </c>
      <c r="V62" s="40">
        <f t="shared" si="12"/>
        <v>236094.49789241597</v>
      </c>
      <c r="W62" s="40">
        <f t="shared" si="12"/>
        <v>247899.22278703679</v>
      </c>
      <c r="X62" s="40">
        <f t="shared" si="12"/>
        <v>259703.94768165759</v>
      </c>
      <c r="Y62" s="40">
        <f t="shared" si="12"/>
        <v>271508.67257627839</v>
      </c>
      <c r="Z62" s="40">
        <f t="shared" si="12"/>
        <v>283313.39747089916</v>
      </c>
      <c r="AA62" s="40">
        <f t="shared" si="12"/>
        <v>295118.12236551999</v>
      </c>
      <c r="AB62" s="40">
        <f t="shared" si="12"/>
        <v>295118.12236551999</v>
      </c>
      <c r="AC62" s="40">
        <f t="shared" si="12"/>
        <v>295118.12236551999</v>
      </c>
      <c r="AD62" s="40">
        <f t="shared" si="12"/>
        <v>295118.12236551999</v>
      </c>
      <c r="AE62" s="40">
        <f t="shared" si="12"/>
        <v>295118.12236551999</v>
      </c>
      <c r="AF62" s="40">
        <f t="shared" si="12"/>
        <v>295118.12236551999</v>
      </c>
      <c r="AG62" s="40">
        <f t="shared" si="12"/>
        <v>295118.12236551999</v>
      </c>
      <c r="AH62" s="40">
        <f t="shared" si="12"/>
        <v>295118.12236551999</v>
      </c>
      <c r="AI62" s="40">
        <f t="shared" si="12"/>
        <v>295118.12236551999</v>
      </c>
      <c r="AJ62" s="40">
        <f t="shared" si="12"/>
        <v>295118.12236551999</v>
      </c>
      <c r="AK62" s="40">
        <f t="shared" si="12"/>
        <v>295118.12236551999</v>
      </c>
      <c r="AL62" s="40">
        <f t="shared" si="12"/>
        <v>295118.12236551999</v>
      </c>
      <c r="AM62" s="40">
        <f t="shared" si="12"/>
        <v>295118.12236551999</v>
      </c>
      <c r="AN62" s="40">
        <f t="shared" si="12"/>
        <v>295118.12236551999</v>
      </c>
      <c r="AO62" s="40">
        <f t="shared" si="12"/>
        <v>295118.12236551999</v>
      </c>
      <c r="AP62" s="40">
        <f t="shared" si="12"/>
        <v>295118.12236551999</v>
      </c>
      <c r="AQ62" s="40">
        <f t="shared" si="12"/>
        <v>295118.12236551999</v>
      </c>
      <c r="AR62" s="40">
        <f t="shared" si="12"/>
        <v>295118.12236551999</v>
      </c>
      <c r="AS62" s="40">
        <f t="shared" si="12"/>
        <v>295118.12236551999</v>
      </c>
      <c r="AT62" s="40">
        <f t="shared" si="12"/>
        <v>295118.12236551999</v>
      </c>
      <c r="AU62" s="40">
        <f t="shared" si="12"/>
        <v>295118.12236551999</v>
      </c>
    </row>
    <row r="63" spans="2:47" s="15" customFormat="1" ht="13.5" outlineLevel="1" x14ac:dyDescent="0.25">
      <c r="B63" s="226" t="s">
        <v>926</v>
      </c>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row>
    <row r="64" spans="2:47" s="15" customFormat="1" ht="13.5" outlineLevel="1" x14ac:dyDescent="0.25">
      <c r="B64" s="227" t="s">
        <v>922</v>
      </c>
      <c r="C64" s="40">
        <f t="shared" ref="C64:AU64" si="13">SUMPRODUCT($E$12:$E$19,$G$12:$G$19,$J$12:$J$19)/1000*C52/$C$9</f>
        <v>6077.5277145632017</v>
      </c>
      <c r="D64" s="40">
        <f t="shared" si="13"/>
        <v>12155.055429126403</v>
      </c>
      <c r="E64" s="40">
        <f t="shared" si="13"/>
        <v>18232.583143689604</v>
      </c>
      <c r="F64" s="40">
        <f t="shared" si="13"/>
        <v>24310.110858252807</v>
      </c>
      <c r="G64" s="40">
        <f t="shared" si="13"/>
        <v>30387.638572816009</v>
      </c>
      <c r="H64" s="40">
        <f t="shared" si="13"/>
        <v>36465.166287379208</v>
      </c>
      <c r="I64" s="40">
        <f t="shared" si="13"/>
        <v>42542.694001942415</v>
      </c>
      <c r="J64" s="40">
        <f t="shared" si="13"/>
        <v>48620.221716505614</v>
      </c>
      <c r="K64" s="40">
        <f t="shared" si="13"/>
        <v>54697.749431068813</v>
      </c>
      <c r="L64" s="40">
        <f t="shared" si="13"/>
        <v>60775.277145632019</v>
      </c>
      <c r="M64" s="40">
        <f t="shared" si="13"/>
        <v>66852.804860195218</v>
      </c>
      <c r="N64" s="40">
        <f t="shared" si="13"/>
        <v>72930.332574758417</v>
      </c>
      <c r="O64" s="40">
        <f t="shared" si="13"/>
        <v>79007.86028932163</v>
      </c>
      <c r="P64" s="40">
        <f t="shared" si="13"/>
        <v>85085.388003884829</v>
      </c>
      <c r="Q64" s="40">
        <f t="shared" si="13"/>
        <v>91162.915718448028</v>
      </c>
      <c r="R64" s="40">
        <f t="shared" si="13"/>
        <v>97240.443433011227</v>
      </c>
      <c r="S64" s="40">
        <f t="shared" si="13"/>
        <v>103317.97114757443</v>
      </c>
      <c r="T64" s="40">
        <f t="shared" si="13"/>
        <v>109395.49886213763</v>
      </c>
      <c r="U64" s="40">
        <f t="shared" si="13"/>
        <v>115473.02657670084</v>
      </c>
      <c r="V64" s="40">
        <f t="shared" si="13"/>
        <v>121550.55429126404</v>
      </c>
      <c r="W64" s="40">
        <f t="shared" si="13"/>
        <v>127628.08200582724</v>
      </c>
      <c r="X64" s="40">
        <f t="shared" si="13"/>
        <v>133705.60972039044</v>
      </c>
      <c r="Y64" s="40">
        <f t="shared" si="13"/>
        <v>139783.13743495365</v>
      </c>
      <c r="Z64" s="40">
        <f t="shared" si="13"/>
        <v>145860.66514951683</v>
      </c>
      <c r="AA64" s="40">
        <f t="shared" si="13"/>
        <v>151938.19286408005</v>
      </c>
      <c r="AB64" s="40">
        <f t="shared" si="13"/>
        <v>151938.19286408005</v>
      </c>
      <c r="AC64" s="40">
        <f t="shared" si="13"/>
        <v>151938.19286408005</v>
      </c>
      <c r="AD64" s="40">
        <f t="shared" si="13"/>
        <v>151938.19286408005</v>
      </c>
      <c r="AE64" s="40">
        <f t="shared" si="13"/>
        <v>151938.19286408005</v>
      </c>
      <c r="AF64" s="40">
        <f t="shared" si="13"/>
        <v>151938.19286408005</v>
      </c>
      <c r="AG64" s="40">
        <f t="shared" si="13"/>
        <v>151938.19286408005</v>
      </c>
      <c r="AH64" s="40">
        <f t="shared" si="13"/>
        <v>151938.19286408005</v>
      </c>
      <c r="AI64" s="40">
        <f t="shared" si="13"/>
        <v>151938.19286408005</v>
      </c>
      <c r="AJ64" s="40">
        <f t="shared" si="13"/>
        <v>151938.19286408005</v>
      </c>
      <c r="AK64" s="40">
        <f t="shared" si="13"/>
        <v>151938.19286408005</v>
      </c>
      <c r="AL64" s="40">
        <f t="shared" si="13"/>
        <v>151938.19286408005</v>
      </c>
      <c r="AM64" s="40">
        <f t="shared" si="13"/>
        <v>151938.19286408005</v>
      </c>
      <c r="AN64" s="40">
        <f t="shared" si="13"/>
        <v>151938.19286408005</v>
      </c>
      <c r="AO64" s="40">
        <f t="shared" si="13"/>
        <v>151938.19286408005</v>
      </c>
      <c r="AP64" s="40">
        <f t="shared" si="13"/>
        <v>151938.19286408005</v>
      </c>
      <c r="AQ64" s="40">
        <f t="shared" si="13"/>
        <v>151938.19286408005</v>
      </c>
      <c r="AR64" s="40">
        <f t="shared" si="13"/>
        <v>151938.19286408005</v>
      </c>
      <c r="AS64" s="40">
        <f t="shared" si="13"/>
        <v>151938.19286408005</v>
      </c>
      <c r="AT64" s="40">
        <f t="shared" si="13"/>
        <v>151938.19286408005</v>
      </c>
      <c r="AU64" s="40">
        <f t="shared" si="13"/>
        <v>151938.19286408005</v>
      </c>
    </row>
    <row r="65" spans="2:47" s="15" customFormat="1" ht="13.5" outlineLevel="1" x14ac:dyDescent="0.25">
      <c r="B65" s="227" t="s">
        <v>923</v>
      </c>
      <c r="C65" s="40">
        <f t="shared" ref="C65:AU65" si="14">SUMPRODUCT($E$12:$E$19,$G$12:$G$19,$L$12:$L$19)/1000*C52/$C$9</f>
        <v>5609.1879858719985</v>
      </c>
      <c r="D65" s="40">
        <f t="shared" si="14"/>
        <v>11218.375971743997</v>
      </c>
      <c r="E65" s="40">
        <f t="shared" si="14"/>
        <v>16827.563957615999</v>
      </c>
      <c r="F65" s="40">
        <f t="shared" si="14"/>
        <v>22436.751943487994</v>
      </c>
      <c r="G65" s="40">
        <f t="shared" si="14"/>
        <v>28045.939929359993</v>
      </c>
      <c r="H65" s="40">
        <f t="shared" si="14"/>
        <v>33655.127915231998</v>
      </c>
      <c r="I65" s="40">
        <f t="shared" si="14"/>
        <v>39264.31590110399</v>
      </c>
      <c r="J65" s="40">
        <f t="shared" si="14"/>
        <v>44873.503886975988</v>
      </c>
      <c r="K65" s="40">
        <f t="shared" si="14"/>
        <v>50482.691872847994</v>
      </c>
      <c r="L65" s="40">
        <f t="shared" si="14"/>
        <v>56091.879858719985</v>
      </c>
      <c r="M65" s="40">
        <f t="shared" si="14"/>
        <v>61701.067844591991</v>
      </c>
      <c r="N65" s="40">
        <f t="shared" si="14"/>
        <v>67310.255830463997</v>
      </c>
      <c r="O65" s="40">
        <f t="shared" si="14"/>
        <v>72919.443816335988</v>
      </c>
      <c r="P65" s="40">
        <f t="shared" si="14"/>
        <v>78528.631802207979</v>
      </c>
      <c r="Q65" s="40">
        <f t="shared" si="14"/>
        <v>84137.819788079985</v>
      </c>
      <c r="R65" s="40">
        <f t="shared" si="14"/>
        <v>89747.007773951977</v>
      </c>
      <c r="S65" s="40">
        <f t="shared" si="14"/>
        <v>95356.195759823968</v>
      </c>
      <c r="T65" s="40">
        <f t="shared" si="14"/>
        <v>100965.38374569599</v>
      </c>
      <c r="U65" s="40">
        <f t="shared" si="14"/>
        <v>106574.57173156798</v>
      </c>
      <c r="V65" s="40">
        <f t="shared" si="14"/>
        <v>112183.75971743997</v>
      </c>
      <c r="W65" s="40">
        <f t="shared" si="14"/>
        <v>117792.94770331198</v>
      </c>
      <c r="X65" s="40">
        <f t="shared" si="14"/>
        <v>123402.13568918398</v>
      </c>
      <c r="Y65" s="40">
        <f t="shared" si="14"/>
        <v>129011.32367505597</v>
      </c>
      <c r="Z65" s="40">
        <f t="shared" si="14"/>
        <v>134620.51166092799</v>
      </c>
      <c r="AA65" s="40">
        <f t="shared" si="14"/>
        <v>140229.69964679997</v>
      </c>
      <c r="AB65" s="40">
        <f t="shared" si="14"/>
        <v>140229.69964679997</v>
      </c>
      <c r="AC65" s="40">
        <f t="shared" si="14"/>
        <v>140229.69964679997</v>
      </c>
      <c r="AD65" s="40">
        <f t="shared" si="14"/>
        <v>140229.69964679997</v>
      </c>
      <c r="AE65" s="40">
        <f t="shared" si="14"/>
        <v>140229.69964679997</v>
      </c>
      <c r="AF65" s="40">
        <f t="shared" si="14"/>
        <v>140229.69964679997</v>
      </c>
      <c r="AG65" s="40">
        <f t="shared" si="14"/>
        <v>140229.69964679997</v>
      </c>
      <c r="AH65" s="40">
        <f t="shared" si="14"/>
        <v>140229.69964679997</v>
      </c>
      <c r="AI65" s="40">
        <f t="shared" si="14"/>
        <v>140229.69964679997</v>
      </c>
      <c r="AJ65" s="40">
        <f t="shared" si="14"/>
        <v>140229.69964679997</v>
      </c>
      <c r="AK65" s="40">
        <f t="shared" si="14"/>
        <v>140229.69964679997</v>
      </c>
      <c r="AL65" s="40">
        <f t="shared" si="14"/>
        <v>140229.69964679997</v>
      </c>
      <c r="AM65" s="40">
        <f t="shared" si="14"/>
        <v>140229.69964679997</v>
      </c>
      <c r="AN65" s="40">
        <f t="shared" si="14"/>
        <v>140229.69964679997</v>
      </c>
      <c r="AO65" s="40">
        <f t="shared" si="14"/>
        <v>140229.69964679997</v>
      </c>
      <c r="AP65" s="40">
        <f t="shared" si="14"/>
        <v>140229.69964679997</v>
      </c>
      <c r="AQ65" s="40">
        <f t="shared" si="14"/>
        <v>140229.69964679997</v>
      </c>
      <c r="AR65" s="40">
        <f t="shared" si="14"/>
        <v>140229.69964679997</v>
      </c>
      <c r="AS65" s="40">
        <f t="shared" si="14"/>
        <v>140229.69964679997</v>
      </c>
      <c r="AT65" s="40">
        <f t="shared" si="14"/>
        <v>140229.69964679997</v>
      </c>
      <c r="AU65" s="40">
        <f t="shared" si="14"/>
        <v>140229.69964679997</v>
      </c>
    </row>
    <row r="66" spans="2:47" s="15" customFormat="1" ht="13.5" outlineLevel="1" x14ac:dyDescent="0.25">
      <c r="B66" s="227" t="s">
        <v>924</v>
      </c>
      <c r="C66" s="40">
        <f t="shared" ref="C66:AU66" si="15">SUMPRODUCT($E$12:$E$19,$G$12:$G$19,$I$12:$I$19)/1000*C52/$C$9</f>
        <v>21258.989613996804</v>
      </c>
      <c r="D66" s="40">
        <f t="shared" si="15"/>
        <v>42517.979227993608</v>
      </c>
      <c r="E66" s="40">
        <f t="shared" si="15"/>
        <v>63776.96884199042</v>
      </c>
      <c r="F66" s="40">
        <f t="shared" si="15"/>
        <v>85035.958455987216</v>
      </c>
      <c r="G66" s="40">
        <f t="shared" si="15"/>
        <v>106294.94806998402</v>
      </c>
      <c r="H66" s="40">
        <f t="shared" si="15"/>
        <v>127553.93768398084</v>
      </c>
      <c r="I66" s="40">
        <f t="shared" si="15"/>
        <v>148812.92729797764</v>
      </c>
      <c r="J66" s="40">
        <f t="shared" si="15"/>
        <v>170071.91691197443</v>
      </c>
      <c r="K66" s="40">
        <f t="shared" si="15"/>
        <v>191330.90652597125</v>
      </c>
      <c r="L66" s="40">
        <f t="shared" si="15"/>
        <v>212589.89613996804</v>
      </c>
      <c r="M66" s="40">
        <f t="shared" si="15"/>
        <v>233848.88575396486</v>
      </c>
      <c r="N66" s="40">
        <f t="shared" si="15"/>
        <v>255107.87536796168</v>
      </c>
      <c r="O66" s="40">
        <f t="shared" si="15"/>
        <v>276366.86498195847</v>
      </c>
      <c r="P66" s="40">
        <f t="shared" si="15"/>
        <v>297625.85459595529</v>
      </c>
      <c r="Q66" s="40">
        <f t="shared" si="15"/>
        <v>318884.84420995205</v>
      </c>
      <c r="R66" s="40">
        <f t="shared" si="15"/>
        <v>340143.83382394887</v>
      </c>
      <c r="S66" s="40">
        <f t="shared" si="15"/>
        <v>361402.82343794568</v>
      </c>
      <c r="T66" s="40">
        <f t="shared" si="15"/>
        <v>382661.8130519425</v>
      </c>
      <c r="U66" s="40">
        <f t="shared" si="15"/>
        <v>403920.80266593926</v>
      </c>
      <c r="V66" s="40">
        <f t="shared" si="15"/>
        <v>425179.79227993608</v>
      </c>
      <c r="W66" s="40">
        <f t="shared" si="15"/>
        <v>446438.7818939329</v>
      </c>
      <c r="X66" s="40">
        <f t="shared" si="15"/>
        <v>467697.77150792972</v>
      </c>
      <c r="Y66" s="40">
        <f t="shared" si="15"/>
        <v>488956.76112192654</v>
      </c>
      <c r="Z66" s="40">
        <f t="shared" si="15"/>
        <v>510215.75073592336</v>
      </c>
      <c r="AA66" s="40">
        <f t="shared" si="15"/>
        <v>531474.74034992012</v>
      </c>
      <c r="AB66" s="40">
        <f t="shared" si="15"/>
        <v>531474.74034992012</v>
      </c>
      <c r="AC66" s="40">
        <f t="shared" si="15"/>
        <v>531474.74034992012</v>
      </c>
      <c r="AD66" s="40">
        <f t="shared" si="15"/>
        <v>531474.74034992012</v>
      </c>
      <c r="AE66" s="40">
        <f t="shared" si="15"/>
        <v>531474.74034992012</v>
      </c>
      <c r="AF66" s="40">
        <f t="shared" si="15"/>
        <v>531474.74034992012</v>
      </c>
      <c r="AG66" s="40">
        <f t="shared" si="15"/>
        <v>531474.74034992012</v>
      </c>
      <c r="AH66" s="40">
        <f t="shared" si="15"/>
        <v>531474.74034992012</v>
      </c>
      <c r="AI66" s="40">
        <f t="shared" si="15"/>
        <v>531474.74034992012</v>
      </c>
      <c r="AJ66" s="40">
        <f t="shared" si="15"/>
        <v>531474.74034992012</v>
      </c>
      <c r="AK66" s="40">
        <f t="shared" si="15"/>
        <v>531474.74034992012</v>
      </c>
      <c r="AL66" s="40">
        <f t="shared" si="15"/>
        <v>531474.74034992012</v>
      </c>
      <c r="AM66" s="40">
        <f t="shared" si="15"/>
        <v>531474.74034992012</v>
      </c>
      <c r="AN66" s="40">
        <f t="shared" si="15"/>
        <v>531474.74034992012</v>
      </c>
      <c r="AO66" s="40">
        <f t="shared" si="15"/>
        <v>531474.74034992012</v>
      </c>
      <c r="AP66" s="40">
        <f t="shared" si="15"/>
        <v>531474.74034992012</v>
      </c>
      <c r="AQ66" s="40">
        <f t="shared" si="15"/>
        <v>531474.74034992012</v>
      </c>
      <c r="AR66" s="40">
        <f t="shared" si="15"/>
        <v>531474.74034992012</v>
      </c>
      <c r="AS66" s="40">
        <f t="shared" si="15"/>
        <v>531474.74034992012</v>
      </c>
      <c r="AT66" s="40">
        <f t="shared" si="15"/>
        <v>531474.74034992012</v>
      </c>
      <c r="AU66" s="40">
        <f t="shared" si="15"/>
        <v>531474.74034992012</v>
      </c>
    </row>
    <row r="67" spans="2:47" s="15" customFormat="1" ht="13.5" outlineLevel="1" x14ac:dyDescent="0.25">
      <c r="B67" s="227" t="s">
        <v>925</v>
      </c>
      <c r="C67" s="40">
        <f t="shared" ref="C67:AU67" si="16">SUMPRODUCT($E$12:$E$19,$G$12:$G$19,$K$12:$K$19)/1000*C52/$C$9</f>
        <v>9160.0814261152009</v>
      </c>
      <c r="D67" s="40">
        <f t="shared" si="16"/>
        <v>18320.162852230402</v>
      </c>
      <c r="E67" s="40">
        <f t="shared" si="16"/>
        <v>27480.244278345603</v>
      </c>
      <c r="F67" s="40">
        <f t="shared" si="16"/>
        <v>36640.325704460804</v>
      </c>
      <c r="G67" s="40">
        <f t="shared" si="16"/>
        <v>45800.407130576001</v>
      </c>
      <c r="H67" s="40">
        <f t="shared" si="16"/>
        <v>54960.488556691205</v>
      </c>
      <c r="I67" s="40">
        <f t="shared" si="16"/>
        <v>64120.569982806395</v>
      </c>
      <c r="J67" s="40">
        <f t="shared" si="16"/>
        <v>73280.651408921607</v>
      </c>
      <c r="K67" s="40">
        <f t="shared" si="16"/>
        <v>82440.732835036804</v>
      </c>
      <c r="L67" s="40">
        <f t="shared" si="16"/>
        <v>91600.814261152002</v>
      </c>
      <c r="M67" s="40">
        <f t="shared" si="16"/>
        <v>100760.8956872672</v>
      </c>
      <c r="N67" s="40">
        <f t="shared" si="16"/>
        <v>109920.97711338241</v>
      </c>
      <c r="O67" s="40">
        <f t="shared" si="16"/>
        <v>119081.05853949761</v>
      </c>
      <c r="P67" s="40">
        <f t="shared" si="16"/>
        <v>128241.13996561279</v>
      </c>
      <c r="Q67" s="40">
        <f t="shared" si="16"/>
        <v>137401.221391728</v>
      </c>
      <c r="R67" s="40">
        <f t="shared" si="16"/>
        <v>146561.30281784321</v>
      </c>
      <c r="S67" s="40">
        <f t="shared" si="16"/>
        <v>155721.3842439584</v>
      </c>
      <c r="T67" s="40">
        <f t="shared" si="16"/>
        <v>164881.46567007361</v>
      </c>
      <c r="U67" s="40">
        <f t="shared" si="16"/>
        <v>174041.54709618882</v>
      </c>
      <c r="V67" s="40">
        <f t="shared" si="16"/>
        <v>183201.628522304</v>
      </c>
      <c r="W67" s="40">
        <f t="shared" si="16"/>
        <v>192361.70994841921</v>
      </c>
      <c r="X67" s="40">
        <f t="shared" si="16"/>
        <v>201521.7913745344</v>
      </c>
      <c r="Y67" s="40">
        <f t="shared" si="16"/>
        <v>210681.87280064958</v>
      </c>
      <c r="Z67" s="40">
        <f t="shared" si="16"/>
        <v>219841.95422676482</v>
      </c>
      <c r="AA67" s="40">
        <f t="shared" si="16"/>
        <v>229002.03565288</v>
      </c>
      <c r="AB67" s="40">
        <f t="shared" si="16"/>
        <v>229002.03565288</v>
      </c>
      <c r="AC67" s="40">
        <f t="shared" si="16"/>
        <v>229002.03565288</v>
      </c>
      <c r="AD67" s="40">
        <f t="shared" si="16"/>
        <v>229002.03565288</v>
      </c>
      <c r="AE67" s="40">
        <f t="shared" si="16"/>
        <v>229002.03565288</v>
      </c>
      <c r="AF67" s="40">
        <f t="shared" si="16"/>
        <v>229002.03565288</v>
      </c>
      <c r="AG67" s="40">
        <f t="shared" si="16"/>
        <v>229002.03565288</v>
      </c>
      <c r="AH67" s="40">
        <f t="shared" si="16"/>
        <v>229002.03565288</v>
      </c>
      <c r="AI67" s="40">
        <f t="shared" si="16"/>
        <v>229002.03565288</v>
      </c>
      <c r="AJ67" s="40">
        <f t="shared" si="16"/>
        <v>229002.03565288</v>
      </c>
      <c r="AK67" s="40">
        <f t="shared" si="16"/>
        <v>229002.03565288</v>
      </c>
      <c r="AL67" s="40">
        <f t="shared" si="16"/>
        <v>229002.03565288</v>
      </c>
      <c r="AM67" s="40">
        <f t="shared" si="16"/>
        <v>229002.03565288</v>
      </c>
      <c r="AN67" s="40">
        <f t="shared" si="16"/>
        <v>229002.03565288</v>
      </c>
      <c r="AO67" s="40">
        <f t="shared" si="16"/>
        <v>229002.03565288</v>
      </c>
      <c r="AP67" s="40">
        <f t="shared" si="16"/>
        <v>229002.03565288</v>
      </c>
      <c r="AQ67" s="40">
        <f t="shared" si="16"/>
        <v>229002.03565288</v>
      </c>
      <c r="AR67" s="40">
        <f t="shared" si="16"/>
        <v>229002.03565288</v>
      </c>
      <c r="AS67" s="40">
        <f t="shared" si="16"/>
        <v>229002.03565288</v>
      </c>
      <c r="AT67" s="40">
        <f t="shared" si="16"/>
        <v>229002.03565288</v>
      </c>
      <c r="AU67" s="40">
        <f t="shared" si="16"/>
        <v>229002.03565288</v>
      </c>
    </row>
    <row r="68" spans="2:47" s="15" customFormat="1" ht="13.5" outlineLevel="1" x14ac:dyDescent="0.25">
      <c r="B68" s="712" t="s">
        <v>927</v>
      </c>
      <c r="C68" s="781">
        <f>SUM(C69:C71)</f>
        <v>29514.20963177146</v>
      </c>
      <c r="D68" s="781">
        <f t="shared" ref="D68:AU68" si="17">SUM(D69:D71)</f>
        <v>59028.419263542921</v>
      </c>
      <c r="E68" s="781">
        <f t="shared" si="17"/>
        <v>88542.628895314396</v>
      </c>
      <c r="F68" s="781">
        <f t="shared" si="17"/>
        <v>118056.83852708584</v>
      </c>
      <c r="G68" s="781">
        <f t="shared" si="17"/>
        <v>147571.04815885733</v>
      </c>
      <c r="H68" s="781">
        <f t="shared" si="17"/>
        <v>177085.25779062879</v>
      </c>
      <c r="I68" s="781">
        <f t="shared" si="17"/>
        <v>206599.46742240025</v>
      </c>
      <c r="J68" s="781">
        <f t="shared" si="17"/>
        <v>236113.67705417168</v>
      </c>
      <c r="K68" s="781">
        <f t="shared" si="17"/>
        <v>265627.88668594317</v>
      </c>
      <c r="L68" s="781">
        <f t="shared" si="17"/>
        <v>295142.09631771466</v>
      </c>
      <c r="M68" s="781">
        <f t="shared" si="17"/>
        <v>324656.30594948609</v>
      </c>
      <c r="N68" s="781">
        <f t="shared" si="17"/>
        <v>354170.51558125758</v>
      </c>
      <c r="O68" s="781">
        <f t="shared" si="17"/>
        <v>383684.72521302907</v>
      </c>
      <c r="P68" s="781">
        <f t="shared" si="17"/>
        <v>413198.9348448005</v>
      </c>
      <c r="Q68" s="781">
        <f t="shared" si="17"/>
        <v>442713.14447657205</v>
      </c>
      <c r="R68" s="781">
        <f t="shared" si="17"/>
        <v>472227.35410834337</v>
      </c>
      <c r="S68" s="781">
        <f t="shared" si="17"/>
        <v>501741.56374011486</v>
      </c>
      <c r="T68" s="781">
        <f t="shared" si="17"/>
        <v>531255.77337188635</v>
      </c>
      <c r="U68" s="781">
        <f t="shared" si="17"/>
        <v>560769.98300365778</v>
      </c>
      <c r="V68" s="781">
        <f t="shared" si="17"/>
        <v>590284.19263542932</v>
      </c>
      <c r="W68" s="781">
        <f t="shared" si="17"/>
        <v>619798.40226720076</v>
      </c>
      <c r="X68" s="781">
        <f t="shared" si="17"/>
        <v>649312.61189897219</v>
      </c>
      <c r="Y68" s="781">
        <f t="shared" si="17"/>
        <v>678826.82153074373</v>
      </c>
      <c r="Z68" s="781">
        <f t="shared" si="17"/>
        <v>708341.03116251517</v>
      </c>
      <c r="AA68" s="781">
        <f t="shared" si="17"/>
        <v>737855.24079428671</v>
      </c>
      <c r="AB68" s="781">
        <f t="shared" si="17"/>
        <v>737855.24079428671</v>
      </c>
      <c r="AC68" s="781">
        <f t="shared" si="17"/>
        <v>737855.24079428671</v>
      </c>
      <c r="AD68" s="781">
        <f t="shared" si="17"/>
        <v>737855.24079428671</v>
      </c>
      <c r="AE68" s="781">
        <f t="shared" si="17"/>
        <v>737855.24079428671</v>
      </c>
      <c r="AF68" s="781">
        <f t="shared" si="17"/>
        <v>737855.24079428671</v>
      </c>
      <c r="AG68" s="781">
        <f t="shared" si="17"/>
        <v>737855.24079428671</v>
      </c>
      <c r="AH68" s="781">
        <f t="shared" si="17"/>
        <v>737855.24079428671</v>
      </c>
      <c r="AI68" s="781">
        <f t="shared" si="17"/>
        <v>737855.24079428671</v>
      </c>
      <c r="AJ68" s="781">
        <f t="shared" si="17"/>
        <v>737855.24079428671</v>
      </c>
      <c r="AK68" s="781">
        <f t="shared" si="17"/>
        <v>737855.24079428671</v>
      </c>
      <c r="AL68" s="781">
        <f t="shared" si="17"/>
        <v>737855.24079428671</v>
      </c>
      <c r="AM68" s="781">
        <f t="shared" si="17"/>
        <v>737855.24079428671</v>
      </c>
      <c r="AN68" s="781">
        <f t="shared" si="17"/>
        <v>737855.24079428671</v>
      </c>
      <c r="AO68" s="781">
        <f t="shared" si="17"/>
        <v>737855.24079428671</v>
      </c>
      <c r="AP68" s="781">
        <f t="shared" si="17"/>
        <v>737855.24079428671</v>
      </c>
      <c r="AQ68" s="781">
        <f t="shared" si="17"/>
        <v>737855.24079428671</v>
      </c>
      <c r="AR68" s="781">
        <f t="shared" si="17"/>
        <v>737855.24079428671</v>
      </c>
      <c r="AS68" s="781">
        <f t="shared" si="17"/>
        <v>737855.24079428671</v>
      </c>
      <c r="AT68" s="781">
        <f t="shared" si="17"/>
        <v>737855.24079428671</v>
      </c>
      <c r="AU68" s="781">
        <f t="shared" si="17"/>
        <v>737855.24079428671</v>
      </c>
    </row>
    <row r="69" spans="2:47" s="15" customFormat="1" ht="13.5" outlineLevel="1" x14ac:dyDescent="0.25">
      <c r="B69" s="782" t="s">
        <v>485</v>
      </c>
      <c r="C69" s="780">
        <f>C61-C62</f>
        <v>16461.607554806404</v>
      </c>
      <c r="D69" s="780">
        <f t="shared" ref="D69:AU69" si="18">D61-D62</f>
        <v>32923.215109612807</v>
      </c>
      <c r="E69" s="780">
        <f t="shared" si="18"/>
        <v>49384.822664419218</v>
      </c>
      <c r="F69" s="780">
        <f t="shared" si="18"/>
        <v>65846.430219225615</v>
      </c>
      <c r="G69" s="780">
        <f t="shared" si="18"/>
        <v>82308.03777403204</v>
      </c>
      <c r="H69" s="780">
        <f t="shared" si="18"/>
        <v>98769.645328838436</v>
      </c>
      <c r="I69" s="780">
        <f t="shared" si="18"/>
        <v>115231.25288364482</v>
      </c>
      <c r="J69" s="780">
        <f t="shared" si="18"/>
        <v>131692.86043845123</v>
      </c>
      <c r="K69" s="780">
        <f t="shared" si="18"/>
        <v>148154.46799325765</v>
      </c>
      <c r="L69" s="780">
        <f t="shared" si="18"/>
        <v>164616.07554806408</v>
      </c>
      <c r="M69" s="780">
        <f t="shared" si="18"/>
        <v>181077.68310287048</v>
      </c>
      <c r="N69" s="780">
        <f t="shared" si="18"/>
        <v>197539.29065767687</v>
      </c>
      <c r="O69" s="780">
        <f t="shared" si="18"/>
        <v>214000.8982124833</v>
      </c>
      <c r="P69" s="780">
        <f t="shared" si="18"/>
        <v>230462.50576728964</v>
      </c>
      <c r="Q69" s="780">
        <f t="shared" si="18"/>
        <v>246924.11332209615</v>
      </c>
      <c r="R69" s="780">
        <f t="shared" si="18"/>
        <v>263385.72087690246</v>
      </c>
      <c r="S69" s="780">
        <f t="shared" si="18"/>
        <v>279847.32843170885</v>
      </c>
      <c r="T69" s="780">
        <f t="shared" si="18"/>
        <v>296308.93598651531</v>
      </c>
      <c r="U69" s="780">
        <f t="shared" si="18"/>
        <v>312770.54354132171</v>
      </c>
      <c r="V69" s="780">
        <f t="shared" si="18"/>
        <v>329232.15109612816</v>
      </c>
      <c r="W69" s="780">
        <f t="shared" si="18"/>
        <v>345693.75865093456</v>
      </c>
      <c r="X69" s="780">
        <f t="shared" si="18"/>
        <v>362155.36620574095</v>
      </c>
      <c r="Y69" s="780">
        <f t="shared" si="18"/>
        <v>378616.97376054729</v>
      </c>
      <c r="Z69" s="780">
        <f t="shared" si="18"/>
        <v>395078.58131535375</v>
      </c>
      <c r="AA69" s="780">
        <f t="shared" si="18"/>
        <v>411540.18887016014</v>
      </c>
      <c r="AB69" s="780">
        <f t="shared" si="18"/>
        <v>411540.18887016014</v>
      </c>
      <c r="AC69" s="780">
        <f t="shared" si="18"/>
        <v>411540.18887016014</v>
      </c>
      <c r="AD69" s="780">
        <f t="shared" si="18"/>
        <v>411540.18887016014</v>
      </c>
      <c r="AE69" s="780">
        <f t="shared" si="18"/>
        <v>411540.18887016014</v>
      </c>
      <c r="AF69" s="780">
        <f t="shared" si="18"/>
        <v>411540.18887016014</v>
      </c>
      <c r="AG69" s="780">
        <f t="shared" si="18"/>
        <v>411540.18887016014</v>
      </c>
      <c r="AH69" s="780">
        <f t="shared" si="18"/>
        <v>411540.18887016014</v>
      </c>
      <c r="AI69" s="780">
        <f t="shared" si="18"/>
        <v>411540.18887016014</v>
      </c>
      <c r="AJ69" s="780">
        <f t="shared" si="18"/>
        <v>411540.18887016014</v>
      </c>
      <c r="AK69" s="780">
        <f t="shared" si="18"/>
        <v>411540.18887016014</v>
      </c>
      <c r="AL69" s="780">
        <f t="shared" si="18"/>
        <v>411540.18887016014</v>
      </c>
      <c r="AM69" s="780">
        <f t="shared" si="18"/>
        <v>411540.18887016014</v>
      </c>
      <c r="AN69" s="780">
        <f t="shared" si="18"/>
        <v>411540.18887016014</v>
      </c>
      <c r="AO69" s="780">
        <f t="shared" si="18"/>
        <v>411540.18887016014</v>
      </c>
      <c r="AP69" s="780">
        <f t="shared" si="18"/>
        <v>411540.18887016014</v>
      </c>
      <c r="AQ69" s="780">
        <f t="shared" si="18"/>
        <v>411540.18887016014</v>
      </c>
      <c r="AR69" s="780">
        <f t="shared" si="18"/>
        <v>411540.18887016014</v>
      </c>
      <c r="AS69" s="780">
        <f t="shared" si="18"/>
        <v>411540.18887016014</v>
      </c>
      <c r="AT69" s="780">
        <f t="shared" si="18"/>
        <v>411540.18887016014</v>
      </c>
      <c r="AU69" s="780">
        <f t="shared" si="18"/>
        <v>411540.18887016014</v>
      </c>
    </row>
    <row r="70" spans="2:47" s="15" customFormat="1" ht="13.5" outlineLevel="1" x14ac:dyDescent="0.25">
      <c r="B70" s="782" t="s">
        <v>928</v>
      </c>
      <c r="C70" s="780">
        <f>(C66-C67)/$C$28</f>
        <v>12735.692829349056</v>
      </c>
      <c r="D70" s="780">
        <f t="shared" ref="D70:AU70" si="19">(D66-D67)/$C$28</f>
        <v>25471.385658698113</v>
      </c>
      <c r="E70" s="780">
        <f t="shared" si="19"/>
        <v>38207.078488047184</v>
      </c>
      <c r="F70" s="780">
        <f t="shared" si="19"/>
        <v>50942.771317396226</v>
      </c>
      <c r="G70" s="780">
        <f t="shared" si="19"/>
        <v>63678.464146745289</v>
      </c>
      <c r="H70" s="780">
        <f t="shared" si="19"/>
        <v>76414.156976094368</v>
      </c>
      <c r="I70" s="780">
        <f t="shared" si="19"/>
        <v>89149.849805443417</v>
      </c>
      <c r="J70" s="780">
        <f t="shared" si="19"/>
        <v>101885.54263479245</v>
      </c>
      <c r="K70" s="780">
        <f t="shared" si="19"/>
        <v>114621.23546414153</v>
      </c>
      <c r="L70" s="780">
        <f t="shared" si="19"/>
        <v>127356.92829349058</v>
      </c>
      <c r="M70" s="780">
        <f t="shared" si="19"/>
        <v>140092.62112283963</v>
      </c>
      <c r="N70" s="780">
        <f t="shared" si="19"/>
        <v>152828.31395218874</v>
      </c>
      <c r="O70" s="780">
        <f t="shared" si="19"/>
        <v>165564.00678153776</v>
      </c>
      <c r="P70" s="780">
        <f t="shared" si="19"/>
        <v>178299.69961088683</v>
      </c>
      <c r="Q70" s="780">
        <f t="shared" si="19"/>
        <v>191035.39244023585</v>
      </c>
      <c r="R70" s="780">
        <f t="shared" si="19"/>
        <v>203771.0852695849</v>
      </c>
      <c r="S70" s="780">
        <f t="shared" si="19"/>
        <v>216506.77809893401</v>
      </c>
      <c r="T70" s="780">
        <f t="shared" si="19"/>
        <v>229242.47092828306</v>
      </c>
      <c r="U70" s="780">
        <f t="shared" si="19"/>
        <v>241978.16375763205</v>
      </c>
      <c r="V70" s="780">
        <f t="shared" si="19"/>
        <v>254713.85658698116</v>
      </c>
      <c r="W70" s="780">
        <f t="shared" si="19"/>
        <v>267449.54941633024</v>
      </c>
      <c r="X70" s="780">
        <f t="shared" si="19"/>
        <v>280185.24224567926</v>
      </c>
      <c r="Y70" s="780">
        <f t="shared" si="19"/>
        <v>292920.93507502839</v>
      </c>
      <c r="Z70" s="780">
        <f t="shared" si="19"/>
        <v>305656.62790437747</v>
      </c>
      <c r="AA70" s="780">
        <f t="shared" si="19"/>
        <v>318392.32073372649</v>
      </c>
      <c r="AB70" s="780">
        <f t="shared" si="19"/>
        <v>318392.32073372649</v>
      </c>
      <c r="AC70" s="780">
        <f t="shared" si="19"/>
        <v>318392.32073372649</v>
      </c>
      <c r="AD70" s="780">
        <f t="shared" si="19"/>
        <v>318392.32073372649</v>
      </c>
      <c r="AE70" s="780">
        <f t="shared" si="19"/>
        <v>318392.32073372649</v>
      </c>
      <c r="AF70" s="780">
        <f t="shared" si="19"/>
        <v>318392.32073372649</v>
      </c>
      <c r="AG70" s="780">
        <f t="shared" si="19"/>
        <v>318392.32073372649</v>
      </c>
      <c r="AH70" s="780">
        <f t="shared" si="19"/>
        <v>318392.32073372649</v>
      </c>
      <c r="AI70" s="780">
        <f t="shared" si="19"/>
        <v>318392.32073372649</v>
      </c>
      <c r="AJ70" s="780">
        <f t="shared" si="19"/>
        <v>318392.32073372649</v>
      </c>
      <c r="AK70" s="780">
        <f t="shared" si="19"/>
        <v>318392.32073372649</v>
      </c>
      <c r="AL70" s="780">
        <f t="shared" si="19"/>
        <v>318392.32073372649</v>
      </c>
      <c r="AM70" s="780">
        <f t="shared" si="19"/>
        <v>318392.32073372649</v>
      </c>
      <c r="AN70" s="780">
        <f t="shared" si="19"/>
        <v>318392.32073372649</v>
      </c>
      <c r="AO70" s="780">
        <f t="shared" si="19"/>
        <v>318392.32073372649</v>
      </c>
      <c r="AP70" s="780">
        <f t="shared" si="19"/>
        <v>318392.32073372649</v>
      </c>
      <c r="AQ70" s="780">
        <f t="shared" si="19"/>
        <v>318392.32073372649</v>
      </c>
      <c r="AR70" s="780">
        <f t="shared" si="19"/>
        <v>318392.32073372649</v>
      </c>
      <c r="AS70" s="780">
        <f t="shared" si="19"/>
        <v>318392.32073372649</v>
      </c>
      <c r="AT70" s="780">
        <f t="shared" si="19"/>
        <v>318392.32073372649</v>
      </c>
      <c r="AU70" s="780">
        <f t="shared" si="19"/>
        <v>318392.32073372649</v>
      </c>
    </row>
    <row r="71" spans="2:47" s="15" customFormat="1" ht="13.5" outlineLevel="1" x14ac:dyDescent="0.25">
      <c r="B71" s="782" t="s">
        <v>483</v>
      </c>
      <c r="C71" s="780">
        <f>C59-C60+C64-C65</f>
        <v>316.90924761600218</v>
      </c>
      <c r="D71" s="780">
        <f t="shared" ref="D71:AU71" si="20">D59-D60+D64-D65</f>
        <v>633.81849523200435</v>
      </c>
      <c r="E71" s="780">
        <f t="shared" si="20"/>
        <v>950.72774284800107</v>
      </c>
      <c r="F71" s="780">
        <f t="shared" si="20"/>
        <v>1267.6369904640087</v>
      </c>
      <c r="G71" s="780">
        <f t="shared" si="20"/>
        <v>1584.5462380800163</v>
      </c>
      <c r="H71" s="780">
        <f t="shared" si="20"/>
        <v>1901.4554856960021</v>
      </c>
      <c r="I71" s="780">
        <f t="shared" si="20"/>
        <v>2218.3647333120098</v>
      </c>
      <c r="J71" s="780">
        <f t="shared" si="20"/>
        <v>2535.2739809280174</v>
      </c>
      <c r="K71" s="780">
        <f t="shared" si="20"/>
        <v>2852.1832285440105</v>
      </c>
      <c r="L71" s="780">
        <f t="shared" si="20"/>
        <v>3169.0924761600327</v>
      </c>
      <c r="M71" s="780">
        <f t="shared" si="20"/>
        <v>3486.0017237760185</v>
      </c>
      <c r="N71" s="780">
        <f t="shared" si="20"/>
        <v>3802.9109713920043</v>
      </c>
      <c r="O71" s="780">
        <f t="shared" si="20"/>
        <v>4119.8202190080337</v>
      </c>
      <c r="P71" s="780">
        <f t="shared" si="20"/>
        <v>4436.7294666240196</v>
      </c>
      <c r="Q71" s="780">
        <f t="shared" si="20"/>
        <v>4753.638714240049</v>
      </c>
      <c r="R71" s="780">
        <f t="shared" si="20"/>
        <v>5070.5479618560348</v>
      </c>
      <c r="S71" s="780">
        <f t="shared" si="20"/>
        <v>5387.4572094720206</v>
      </c>
      <c r="T71" s="780">
        <f t="shared" si="20"/>
        <v>5704.366457088021</v>
      </c>
      <c r="U71" s="780">
        <f t="shared" si="20"/>
        <v>6021.2757047040359</v>
      </c>
      <c r="V71" s="780">
        <f t="shared" si="20"/>
        <v>6338.1849523200653</v>
      </c>
      <c r="W71" s="780">
        <f t="shared" si="20"/>
        <v>6655.0941999360657</v>
      </c>
      <c r="X71" s="780">
        <f t="shared" si="20"/>
        <v>6972.003447552037</v>
      </c>
      <c r="Y71" s="780">
        <f t="shared" si="20"/>
        <v>7288.9126951680373</v>
      </c>
      <c r="Z71" s="780">
        <f t="shared" si="20"/>
        <v>7605.8219427840086</v>
      </c>
      <c r="AA71" s="780">
        <f t="shared" si="20"/>
        <v>7922.7311904000526</v>
      </c>
      <c r="AB71" s="780">
        <f t="shared" si="20"/>
        <v>7922.7311904000526</v>
      </c>
      <c r="AC71" s="780">
        <f t="shared" si="20"/>
        <v>7922.7311904000526</v>
      </c>
      <c r="AD71" s="780">
        <f t="shared" si="20"/>
        <v>7922.7311904000526</v>
      </c>
      <c r="AE71" s="780">
        <f t="shared" si="20"/>
        <v>7922.7311904000526</v>
      </c>
      <c r="AF71" s="780">
        <f t="shared" si="20"/>
        <v>7922.7311904000526</v>
      </c>
      <c r="AG71" s="780">
        <f t="shared" si="20"/>
        <v>7922.7311904000526</v>
      </c>
      <c r="AH71" s="780">
        <f t="shared" si="20"/>
        <v>7922.7311904000526</v>
      </c>
      <c r="AI71" s="780">
        <f t="shared" si="20"/>
        <v>7922.7311904000526</v>
      </c>
      <c r="AJ71" s="780">
        <f t="shared" si="20"/>
        <v>7922.7311904000526</v>
      </c>
      <c r="AK71" s="780">
        <f t="shared" si="20"/>
        <v>7922.7311904000526</v>
      </c>
      <c r="AL71" s="780">
        <f t="shared" si="20"/>
        <v>7922.7311904000526</v>
      </c>
      <c r="AM71" s="780">
        <f t="shared" si="20"/>
        <v>7922.7311904000526</v>
      </c>
      <c r="AN71" s="780">
        <f t="shared" si="20"/>
        <v>7922.7311904000526</v>
      </c>
      <c r="AO71" s="780">
        <f t="shared" si="20"/>
        <v>7922.7311904000526</v>
      </c>
      <c r="AP71" s="780">
        <f t="shared" si="20"/>
        <v>7922.7311904000526</v>
      </c>
      <c r="AQ71" s="780">
        <f t="shared" si="20"/>
        <v>7922.7311904000526</v>
      </c>
      <c r="AR71" s="780">
        <f t="shared" si="20"/>
        <v>7922.7311904000526</v>
      </c>
      <c r="AS71" s="780">
        <f t="shared" si="20"/>
        <v>7922.7311904000526</v>
      </c>
      <c r="AT71" s="780">
        <f t="shared" si="20"/>
        <v>7922.7311904000526</v>
      </c>
      <c r="AU71" s="780">
        <f t="shared" si="20"/>
        <v>7922.7311904000526</v>
      </c>
    </row>
    <row r="72" spans="2:47" s="15" customFormat="1" ht="13.5" outlineLevel="1" x14ac:dyDescent="0.25">
      <c r="B72" s="39" t="s">
        <v>929</v>
      </c>
      <c r="C72" s="41"/>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row>
    <row r="73" spans="2:47" s="15" customFormat="1" ht="13.5" outlineLevel="1" x14ac:dyDescent="0.25">
      <c r="B73" s="15" t="s">
        <v>1059</v>
      </c>
      <c r="C73" s="42">
        <f>SISENDID!H72</f>
        <v>0.16484689655172408</v>
      </c>
      <c r="D73" s="42">
        <f>SISENDID!I72</f>
        <v>0.15797827586206889</v>
      </c>
      <c r="E73" s="42">
        <f>SISENDID!J72</f>
        <v>0.1511096551724137</v>
      </c>
      <c r="F73" s="42">
        <f>SISENDID!K72</f>
        <v>0.14424103448275852</v>
      </c>
      <c r="G73" s="42">
        <f>SISENDID!L72</f>
        <v>0.13737241379310333</v>
      </c>
      <c r="H73" s="42">
        <f>SISENDID!M72</f>
        <v>0.13050379310344815</v>
      </c>
      <c r="I73" s="42">
        <f>SISENDID!N72</f>
        <v>0.12363517241379297</v>
      </c>
      <c r="J73" s="42">
        <f>SISENDID!O72</f>
        <v>0.1167665517241378</v>
      </c>
      <c r="K73" s="42">
        <f>SISENDID!P72</f>
        <v>0.10989793103448263</v>
      </c>
      <c r="L73" s="42">
        <f>SISENDID!Q72</f>
        <v>0.10302931034482746</v>
      </c>
      <c r="M73" s="42">
        <f>SISENDID!R72</f>
        <v>9.6160689655172285E-2</v>
      </c>
      <c r="N73" s="42">
        <f>SISENDID!S72</f>
        <v>8.9292068965517113E-2</v>
      </c>
      <c r="O73" s="42">
        <f>SISENDID!T72</f>
        <v>8.2423448275861941E-2</v>
      </c>
      <c r="P73" s="42">
        <f>SISENDID!U72</f>
        <v>7.5554827586206769E-2</v>
      </c>
      <c r="Q73" s="42">
        <f>SISENDID!V72</f>
        <v>6.8686206896551597E-2</v>
      </c>
      <c r="R73" s="42">
        <f>SISENDID!W72</f>
        <v>6.1817586206896424E-2</v>
      </c>
      <c r="S73" s="42">
        <f>SISENDID!X72</f>
        <v>5.4948965517241252E-2</v>
      </c>
      <c r="T73" s="42">
        <f>SISENDID!Y72</f>
        <v>4.808034482758608E-2</v>
      </c>
      <c r="U73" s="42">
        <f>SISENDID!Z72</f>
        <v>4.1211724137930908E-2</v>
      </c>
      <c r="V73" s="42">
        <f>SISENDID!AA72</f>
        <v>3.4343103448275736E-2</v>
      </c>
      <c r="W73" s="42">
        <f>SISENDID!AB72</f>
        <v>2.7474482758620564E-2</v>
      </c>
      <c r="X73" s="42">
        <f>SISENDID!AC72</f>
        <v>2.0605862068965392E-2</v>
      </c>
      <c r="Y73" s="42">
        <f>SISENDID!AD72</f>
        <v>1.3737241379310219E-2</v>
      </c>
      <c r="Z73" s="42">
        <f>SISENDID!AE72</f>
        <v>6.8686206896550464E-3</v>
      </c>
      <c r="AA73" s="42">
        <f>SISENDID!AF72</f>
        <v>0</v>
      </c>
      <c r="AB73" s="42">
        <f>SISENDID!AG72</f>
        <v>0</v>
      </c>
      <c r="AC73" s="42">
        <f>SISENDID!AH72</f>
        <v>0</v>
      </c>
      <c r="AD73" s="42">
        <f>SISENDID!AI72</f>
        <v>0</v>
      </c>
      <c r="AE73" s="42">
        <f>SISENDID!AJ72</f>
        <v>0</v>
      </c>
      <c r="AF73" s="42">
        <f>SISENDID!AK72</f>
        <v>0</v>
      </c>
      <c r="AG73" s="42">
        <f>SISENDID!AL72</f>
        <v>0</v>
      </c>
      <c r="AH73" s="42">
        <f>SISENDID!AM72</f>
        <v>0</v>
      </c>
      <c r="AI73" s="42">
        <f>SISENDID!AN72</f>
        <v>0</v>
      </c>
      <c r="AJ73" s="42">
        <f>SISENDID!AO72</f>
        <v>0</v>
      </c>
      <c r="AK73" s="42">
        <f>SISENDID!AP72</f>
        <v>0</v>
      </c>
      <c r="AL73" s="42">
        <f>SISENDID!AQ72</f>
        <v>0</v>
      </c>
      <c r="AM73" s="42">
        <f>SISENDID!AR72</f>
        <v>0</v>
      </c>
      <c r="AN73" s="42">
        <f>SISENDID!AS72</f>
        <v>0</v>
      </c>
      <c r="AO73" s="42">
        <f>SISENDID!AT72</f>
        <v>0</v>
      </c>
      <c r="AP73" s="42">
        <f>SISENDID!AU72</f>
        <v>0</v>
      </c>
      <c r="AQ73" s="42">
        <f>SISENDID!AV72</f>
        <v>0</v>
      </c>
      <c r="AR73" s="42">
        <f>SISENDID!AW72</f>
        <v>0</v>
      </c>
      <c r="AS73" s="42">
        <f>SISENDID!AX72</f>
        <v>0</v>
      </c>
      <c r="AT73" s="42">
        <f>SISENDID!AY72</f>
        <v>0</v>
      </c>
      <c r="AU73" s="42">
        <f>SISENDID!AZ72</f>
        <v>0</v>
      </c>
    </row>
    <row r="74" spans="2:47" s="15" customFormat="1" ht="13.5" outlineLevel="1" x14ac:dyDescent="0.25">
      <c r="B74" s="15" t="s">
        <v>485</v>
      </c>
      <c r="C74" s="42">
        <f>SISENDID!H73</f>
        <v>5.9700000000000003E-2</v>
      </c>
      <c r="D74" s="42">
        <f>SISENDID!I73</f>
        <v>4.4775000000000002E-2</v>
      </c>
      <c r="E74" s="42">
        <f>SISENDID!J73</f>
        <v>2.9850000000000002E-2</v>
      </c>
      <c r="F74" s="42">
        <f>SISENDID!K73</f>
        <v>1.4925000000000001E-2</v>
      </c>
      <c r="G74" s="42">
        <f>SISENDID!L73</f>
        <v>0</v>
      </c>
      <c r="H74" s="42">
        <f>SISENDID!M73</f>
        <v>0</v>
      </c>
      <c r="I74" s="42">
        <f>SISENDID!N73</f>
        <v>0</v>
      </c>
      <c r="J74" s="42">
        <f>SISENDID!O73</f>
        <v>0</v>
      </c>
      <c r="K74" s="42">
        <f>SISENDID!P73</f>
        <v>0</v>
      </c>
      <c r="L74" s="42">
        <f>SISENDID!Q73</f>
        <v>0</v>
      </c>
      <c r="M74" s="42">
        <f>SISENDID!R73</f>
        <v>0</v>
      </c>
      <c r="N74" s="42">
        <f>SISENDID!S73</f>
        <v>0</v>
      </c>
      <c r="O74" s="42">
        <f>SISENDID!T73</f>
        <v>0</v>
      </c>
      <c r="P74" s="42">
        <f>SISENDID!U73</f>
        <v>0</v>
      </c>
      <c r="Q74" s="42">
        <f>SISENDID!V73</f>
        <v>0</v>
      </c>
      <c r="R74" s="42">
        <f>SISENDID!W73</f>
        <v>0</v>
      </c>
      <c r="S74" s="42">
        <f>SISENDID!X73</f>
        <v>0</v>
      </c>
      <c r="T74" s="42">
        <f>SISENDID!Y73</f>
        <v>0</v>
      </c>
      <c r="U74" s="42">
        <f>SISENDID!Z73</f>
        <v>0</v>
      </c>
      <c r="V74" s="42">
        <f>SISENDID!AA73</f>
        <v>0</v>
      </c>
      <c r="W74" s="42">
        <f>SISENDID!AB73</f>
        <v>0</v>
      </c>
      <c r="X74" s="42">
        <f>SISENDID!AC73</f>
        <v>0</v>
      </c>
      <c r="Y74" s="42">
        <f>SISENDID!AD73</f>
        <v>0</v>
      </c>
      <c r="Z74" s="42">
        <f>SISENDID!AE73</f>
        <v>0</v>
      </c>
      <c r="AA74" s="42">
        <f>SISENDID!AF73</f>
        <v>0</v>
      </c>
      <c r="AB74" s="42">
        <f>SISENDID!AG73</f>
        <v>0</v>
      </c>
      <c r="AC74" s="42">
        <f>SISENDID!AH73</f>
        <v>0</v>
      </c>
      <c r="AD74" s="42">
        <f>SISENDID!AI73</f>
        <v>0</v>
      </c>
      <c r="AE74" s="42">
        <f>SISENDID!AJ73</f>
        <v>0</v>
      </c>
      <c r="AF74" s="42">
        <f>SISENDID!AK73</f>
        <v>0</v>
      </c>
      <c r="AG74" s="42">
        <f>SISENDID!AL73</f>
        <v>0</v>
      </c>
      <c r="AH74" s="42">
        <f>SISENDID!AM73</f>
        <v>0</v>
      </c>
      <c r="AI74" s="42">
        <f>SISENDID!AN73</f>
        <v>0</v>
      </c>
      <c r="AJ74" s="42">
        <f>SISENDID!AO73</f>
        <v>0</v>
      </c>
      <c r="AK74" s="42">
        <f>SISENDID!AP73</f>
        <v>0</v>
      </c>
      <c r="AL74" s="42">
        <f>SISENDID!AQ73</f>
        <v>0</v>
      </c>
      <c r="AM74" s="42">
        <f>SISENDID!AR73</f>
        <v>0</v>
      </c>
      <c r="AN74" s="42">
        <f>SISENDID!AS73</f>
        <v>0</v>
      </c>
      <c r="AO74" s="42">
        <f>SISENDID!AT73</f>
        <v>0</v>
      </c>
      <c r="AP74" s="42">
        <f>SISENDID!AU73</f>
        <v>0</v>
      </c>
      <c r="AQ74" s="42">
        <f>SISENDID!AV73</f>
        <v>0</v>
      </c>
      <c r="AR74" s="42">
        <f>SISENDID!AW73</f>
        <v>0</v>
      </c>
      <c r="AS74" s="42">
        <f>SISENDID!AX73</f>
        <v>0</v>
      </c>
      <c r="AT74" s="42">
        <f>SISENDID!AY73</f>
        <v>0</v>
      </c>
      <c r="AU74" s="42">
        <f>SISENDID!AZ73</f>
        <v>0</v>
      </c>
    </row>
    <row r="75" spans="2:47" s="39" customFormat="1" ht="13.5" outlineLevel="1" x14ac:dyDescent="0.25">
      <c r="B75" s="39" t="s">
        <v>931</v>
      </c>
      <c r="C75" s="41">
        <f>C70*C73+C69*C74</f>
        <v>3082.1974093761805</v>
      </c>
      <c r="D75" s="41">
        <f t="shared" ref="D75:AU75" si="21">D70*D73+D69*D74</f>
        <v>5498.0625467118689</v>
      </c>
      <c r="E75" s="41">
        <f t="shared" si="21"/>
        <v>7247.5954120070692</v>
      </c>
      <c r="F75" s="41">
        <f t="shared" si="21"/>
        <v>8330.7960052617727</v>
      </c>
      <c r="G75" s="41">
        <f t="shared" si="21"/>
        <v>8747.6643264759878</v>
      </c>
      <c r="H75" s="41">
        <f t="shared" si="21"/>
        <v>9972.3373321826275</v>
      </c>
      <c r="I75" s="41">
        <f t="shared" si="21"/>
        <v>11022.057051359745</v>
      </c>
      <c r="J75" s="41">
        <f t="shared" si="21"/>
        <v>11896.82348400734</v>
      </c>
      <c r="K75" s="41">
        <f t="shared" si="21"/>
        <v>12596.63663012542</v>
      </c>
      <c r="L75" s="41">
        <f t="shared" si="21"/>
        <v>13121.496489713978</v>
      </c>
      <c r="M75" s="41">
        <f t="shared" si="21"/>
        <v>13471.403062773015</v>
      </c>
      <c r="N75" s="41">
        <f t="shared" si="21"/>
        <v>13646.356349302538</v>
      </c>
      <c r="O75" s="41">
        <f t="shared" si="21"/>
        <v>13646.356349302532</v>
      </c>
      <c r="P75" s="41">
        <f t="shared" si="21"/>
        <v>13471.403062773014</v>
      </c>
      <c r="Q75" s="41">
        <f t="shared" si="21"/>
        <v>13121.496489713969</v>
      </c>
      <c r="R75" s="41">
        <f t="shared" si="21"/>
        <v>12596.636630125407</v>
      </c>
      <c r="S75" s="41">
        <f t="shared" si="21"/>
        <v>11896.823484007329</v>
      </c>
      <c r="T75" s="41">
        <f t="shared" si="21"/>
        <v>11022.057051359727</v>
      </c>
      <c r="U75" s="41">
        <f t="shared" si="21"/>
        <v>9972.337332182602</v>
      </c>
      <c r="V75" s="41">
        <f t="shared" si="21"/>
        <v>8747.6643264759641</v>
      </c>
      <c r="W75" s="41">
        <f t="shared" si="21"/>
        <v>7348.0380342398039</v>
      </c>
      <c r="X75" s="41">
        <f t="shared" si="21"/>
        <v>5773.4584554741214</v>
      </c>
      <c r="Y75" s="41">
        <f t="shared" si="21"/>
        <v>4023.9255901789224</v>
      </c>
      <c r="Z75" s="41">
        <f t="shared" si="21"/>
        <v>2099.4394383542012</v>
      </c>
      <c r="AA75" s="41">
        <f t="shared" si="21"/>
        <v>0</v>
      </c>
      <c r="AB75" s="41">
        <f t="shared" si="21"/>
        <v>0</v>
      </c>
      <c r="AC75" s="41">
        <f t="shared" si="21"/>
        <v>0</v>
      </c>
      <c r="AD75" s="41">
        <f t="shared" si="21"/>
        <v>0</v>
      </c>
      <c r="AE75" s="41">
        <f t="shared" si="21"/>
        <v>0</v>
      </c>
      <c r="AF75" s="41">
        <f t="shared" si="21"/>
        <v>0</v>
      </c>
      <c r="AG75" s="41">
        <f t="shared" si="21"/>
        <v>0</v>
      </c>
      <c r="AH75" s="41">
        <f t="shared" si="21"/>
        <v>0</v>
      </c>
      <c r="AI75" s="41">
        <f t="shared" si="21"/>
        <v>0</v>
      </c>
      <c r="AJ75" s="41">
        <f t="shared" si="21"/>
        <v>0</v>
      </c>
      <c r="AK75" s="41">
        <f t="shared" si="21"/>
        <v>0</v>
      </c>
      <c r="AL75" s="41">
        <f t="shared" si="21"/>
        <v>0</v>
      </c>
      <c r="AM75" s="41">
        <f t="shared" si="21"/>
        <v>0</v>
      </c>
      <c r="AN75" s="41">
        <f t="shared" si="21"/>
        <v>0</v>
      </c>
      <c r="AO75" s="41">
        <f t="shared" si="21"/>
        <v>0</v>
      </c>
      <c r="AP75" s="41">
        <f t="shared" si="21"/>
        <v>0</v>
      </c>
      <c r="AQ75" s="41">
        <f t="shared" si="21"/>
        <v>0</v>
      </c>
      <c r="AR75" s="41">
        <f t="shared" si="21"/>
        <v>0</v>
      </c>
      <c r="AS75" s="41">
        <f t="shared" si="21"/>
        <v>0</v>
      </c>
      <c r="AT75" s="41">
        <f t="shared" si="21"/>
        <v>0</v>
      </c>
      <c r="AU75" s="41">
        <f t="shared" si="21"/>
        <v>0</v>
      </c>
    </row>
    <row r="76" spans="2:47" s="15" customFormat="1" ht="13.5" outlineLevel="1" x14ac:dyDescent="0.25"/>
    <row r="77" spans="2:47" s="15" customFormat="1" ht="13.5" outlineLevel="1" x14ac:dyDescent="0.25">
      <c r="B77" s="784" t="s">
        <v>1060</v>
      </c>
      <c r="C77" s="785"/>
      <c r="D77" s="375"/>
    </row>
    <row r="78" spans="2:47" outlineLevel="1" x14ac:dyDescent="0.25">
      <c r="B78" s="431" t="s">
        <v>553</v>
      </c>
      <c r="C78" s="718">
        <v>113102.5</v>
      </c>
      <c r="D78" s="305"/>
      <c r="E78" s="155" t="s">
        <v>1052</v>
      </c>
      <c r="F78" s="15"/>
      <c r="G78" s="718">
        <f>C78</f>
        <v>113102.5</v>
      </c>
      <c r="H78" s="15"/>
    </row>
    <row r="79" spans="2:47" outlineLevel="1" x14ac:dyDescent="0.25">
      <c r="B79" s="723" t="s">
        <v>558</v>
      </c>
      <c r="C79" s="725">
        <v>8244967.2000000002</v>
      </c>
      <c r="D79" s="305"/>
      <c r="E79" s="155" t="s">
        <v>1053</v>
      </c>
      <c r="F79" s="15"/>
      <c r="G79" s="718">
        <f>C79</f>
        <v>8244967.2000000002</v>
      </c>
      <c r="H79" s="15"/>
    </row>
    <row r="80" spans="2:47" outlineLevel="1" x14ac:dyDescent="0.25">
      <c r="B80" s="431" t="s">
        <v>1061</v>
      </c>
      <c r="C80" s="718">
        <v>82967.8</v>
      </c>
      <c r="D80" s="305"/>
      <c r="E80" s="155" t="s">
        <v>576</v>
      </c>
      <c r="F80" s="15"/>
      <c r="G80" s="718">
        <f>C82</f>
        <v>548601.1</v>
      </c>
      <c r="H80" s="15"/>
    </row>
    <row r="81" spans="2:8" outlineLevel="1" x14ac:dyDescent="0.25">
      <c r="B81" s="723" t="s">
        <v>1062</v>
      </c>
      <c r="C81" s="725">
        <v>104817.5</v>
      </c>
      <c r="D81" s="305"/>
      <c r="E81" s="155" t="s">
        <v>577</v>
      </c>
      <c r="F81" s="15"/>
      <c r="G81" s="718">
        <f>C80+C81</f>
        <v>187785.3</v>
      </c>
      <c r="H81" s="15"/>
    </row>
    <row r="82" spans="2:8" ht="40.5" outlineLevel="1" x14ac:dyDescent="0.25">
      <c r="B82" s="431" t="s">
        <v>1063</v>
      </c>
      <c r="C82" s="718">
        <v>548601.1</v>
      </c>
      <c r="D82" s="305"/>
      <c r="E82" s="783" t="s">
        <v>578</v>
      </c>
      <c r="F82" s="15"/>
      <c r="G82" s="718">
        <f>C83+C86+C87+C90+C84</f>
        <v>565271.4</v>
      </c>
      <c r="H82" s="15"/>
    </row>
    <row r="83" spans="2:8" outlineLevel="1" x14ac:dyDescent="0.25">
      <c r="B83" s="723" t="s">
        <v>1064</v>
      </c>
      <c r="C83" s="725">
        <v>302468.2</v>
      </c>
      <c r="D83" s="305"/>
      <c r="E83" s="155" t="s">
        <v>579</v>
      </c>
      <c r="F83" s="15"/>
      <c r="G83" s="718">
        <f>C88</f>
        <v>493391.7</v>
      </c>
      <c r="H83" s="15"/>
    </row>
    <row r="84" spans="2:8" outlineLevel="1" x14ac:dyDescent="0.25">
      <c r="B84" s="431" t="s">
        <v>1065</v>
      </c>
      <c r="C84" s="718">
        <v>128903.6</v>
      </c>
      <c r="D84" s="305"/>
      <c r="E84" s="155" t="s">
        <v>580</v>
      </c>
      <c r="F84" s="15"/>
      <c r="G84" s="718">
        <f>C89</f>
        <v>42276.5</v>
      </c>
      <c r="H84" s="15"/>
    </row>
    <row r="85" spans="2:8" outlineLevel="1" x14ac:dyDescent="0.25">
      <c r="B85" s="723" t="s">
        <v>1066</v>
      </c>
      <c r="C85" s="725">
        <v>44090.8</v>
      </c>
      <c r="D85" s="15"/>
      <c r="E85" s="155" t="s">
        <v>581</v>
      </c>
      <c r="F85" s="15"/>
      <c r="G85" s="718">
        <f>C85+C91</f>
        <v>80397.5</v>
      </c>
      <c r="H85" s="15"/>
    </row>
    <row r="86" spans="2:8" outlineLevel="1" x14ac:dyDescent="0.25">
      <c r="B86" s="431" t="s">
        <v>1067</v>
      </c>
      <c r="C86" s="718">
        <v>27685.5</v>
      </c>
      <c r="D86" s="15"/>
      <c r="E86" s="15"/>
      <c r="F86" s="15"/>
      <c r="G86" s="15"/>
      <c r="H86" s="15"/>
    </row>
    <row r="87" spans="2:8" outlineLevel="1" x14ac:dyDescent="0.25">
      <c r="B87" s="723" t="s">
        <v>1068</v>
      </c>
      <c r="C87" s="725">
        <v>78442.100000000006</v>
      </c>
      <c r="D87" s="15"/>
      <c r="E87" s="15"/>
      <c r="F87" s="15"/>
      <c r="G87" s="15"/>
      <c r="H87" s="15"/>
    </row>
    <row r="88" spans="2:8" outlineLevel="1" x14ac:dyDescent="0.25">
      <c r="B88" s="431" t="s">
        <v>1069</v>
      </c>
      <c r="C88" s="718">
        <v>493391.7</v>
      </c>
      <c r="D88" s="15"/>
      <c r="E88" s="15"/>
      <c r="F88" s="15"/>
      <c r="G88" s="15"/>
      <c r="H88" s="15"/>
    </row>
    <row r="89" spans="2:8" outlineLevel="1" x14ac:dyDescent="0.25">
      <c r="B89" s="723" t="s">
        <v>1070</v>
      </c>
      <c r="C89" s="725">
        <v>42276.5</v>
      </c>
      <c r="D89" s="15"/>
      <c r="E89" s="15"/>
      <c r="F89" s="15"/>
      <c r="G89" s="15"/>
      <c r="H89" s="15"/>
    </row>
    <row r="90" spans="2:8" outlineLevel="1" x14ac:dyDescent="0.25">
      <c r="B90" s="431" t="s">
        <v>1071</v>
      </c>
      <c r="C90" s="718">
        <v>27772</v>
      </c>
      <c r="D90" s="15"/>
      <c r="E90" s="15"/>
      <c r="F90" s="15"/>
      <c r="G90" s="15"/>
      <c r="H90" s="15"/>
    </row>
    <row r="91" spans="2:8" outlineLevel="1" x14ac:dyDescent="0.25">
      <c r="B91" s="723" t="s">
        <v>1072</v>
      </c>
      <c r="C91" s="725">
        <v>36306.699999999997</v>
      </c>
      <c r="D91" s="15"/>
      <c r="E91" s="15"/>
      <c r="F91" s="15"/>
      <c r="G91" s="15"/>
      <c r="H91" s="15"/>
    </row>
    <row r="92" spans="2:8" outlineLevel="1" x14ac:dyDescent="0.25"/>
    <row r="94" spans="2:8" x14ac:dyDescent="0.25">
      <c r="C94" s="40"/>
    </row>
    <row r="95" spans="2:8" x14ac:dyDescent="0.25">
      <c r="C95" s="40"/>
    </row>
  </sheetData>
  <sheetProtection algorithmName="SHA-512" hashValue="McU7/QBI2L3A11WlhPBXVBEDKfwn+2cHcPXJIzmAOkzSc9FARkfICdLRb9v7pTFjnCE0Ccb0BmuurCf03IVI8g==" saltValue="4gVwrxXgYoIp4kOj2hPJtA==" spinCount="100000" sheet="1" objects="1" scenarios="1" selectLockedCells="1"/>
  <mergeCells count="2">
    <mergeCell ref="B3:D3"/>
    <mergeCell ref="E3:L3"/>
  </mergeCells>
  <conditionalFormatting sqref="C44:C46">
    <cfRule type="containsText" dxfId="65" priority="1" operator="containsText" text="Kõrge">
      <formula>NOT(ISERROR(SEARCH("Kõrge",C44)))</formula>
    </cfRule>
    <cfRule type="containsText" dxfId="64" priority="2" operator="containsText" text="Mõõdukas">
      <formula>NOT(ISERROR(SEARCH("Mõõdukas",C44)))</formula>
    </cfRule>
    <cfRule type="containsText" dxfId="63" priority="3" operator="containsText" text="Madal">
      <formula>NOT(ISERROR(SEARCH("Madal",C44)))</formula>
    </cfRule>
  </conditionalFormatting>
  <dataValidations count="3">
    <dataValidation type="list" allowBlank="1" showInputMessage="1" showErrorMessage="1" sqref="C46" xr:uid="{2AF0752D-A1C1-4B81-99BC-8E6E6F7BFE83}">
      <formula1>I44:I46</formula1>
    </dataValidation>
    <dataValidation type="list" allowBlank="1" showInputMessage="1" showErrorMessage="1" sqref="C45" xr:uid="{F4391E56-889C-4EE5-984C-4E819FA27B10}">
      <formula1>I44:I46</formula1>
    </dataValidation>
    <dataValidation type="list" allowBlank="1" showInputMessage="1" showErrorMessage="1" sqref="C44" xr:uid="{9054A347-960C-409D-8C41-6E4AB9063D89}">
      <formula1>I44:I46</formula1>
    </dataValidation>
  </dataValidations>
  <hyperlinks>
    <hyperlink ref="B1" location="MEETMED!A1" display="&lt;-MEETMETE NIMEKIRI" xr:uid="{14E4F6A9-8A8A-49B7-8FDA-4B032D7F378A}"/>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99f25cb-101e-41cf-99cb-f09277f440cc" xsi:nil="true"/>
    <Dateandtime xmlns="2b692f12-ff26-4f14-943c-67ca148ef41b" xsi:nil="true"/>
    <lcf76f155ced4ddcb4097134ff3c332f xmlns="2b692f12-ff26-4f14-943c-67ca148ef41b">
      <Terms xmlns="http://schemas.microsoft.com/office/infopath/2007/PartnerControls"/>
    </lcf76f155ced4ddcb4097134ff3c332f>
    <Date xmlns="2b692f12-ff26-4f14-943c-67ca148ef41b" xsi:nil="true"/>
    <kuup_x00e4_ev xmlns="2b692f12-ff26-4f14-943c-67ca148ef41b" xsi:nil="true"/>
  </documentManagement>
</p:properties>
</file>

<file path=customXml/item3.xml>��< ? x m l   v e r s i o n = " 1 . 0 "   e n c o d i n g = " u t f - 1 6 " ? > < D a t a M a s h u p   x m l n s = " h t t p : / / s c h e m a s . m i c r o s o f t . c o m / D a t a M a s h u p " > A A A A A B M D A A B Q S w M E F A A C A A g A R Y V l W 0 g S M W m j A A A A 9 w A A A B I A H A B D b 2 5 m a W c v U G F j a 2 F n Z S 5 4 b W w g o h g A K K A U A A A A A A A A A A A A A A A A A A A A A A A A A A A A h Y 8 x D o I w G I W v Q r r T l q o J I a U M r p K Y m B j X p l R o h B 9 D i + V u D h 7 J K 1 i j q J v j e 9 8 3 v H e / 3 n g x d W 1 0 0 Y M 1 P e Q o w R R F G l R f G a h z N L p j n K J C 8 K 1 U J 1 n r K M h g s 8 l W O W q c O 2 e E e O + x X + B + q A m j N C G H c r N T j e 4 k + s j m v x w b s E 6 C 0 k j w / W u M Y D h Z p p j R s I m T u e S l g a / A A n v S n 5 K v x 9 a N g x Y a 4 m Q V 2 J w 5 e Z 8 Q D 1 B L A w Q U A A I A C A B F h W V 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Y V l W y i K R 7 g O A A A A E Q A A A B M A H A B G b 3 J t d W x h c y 9 T Z W N 0 a W 9 u M S 5 t I K I Y A C i g F A A A A A A A A A A A A A A A A A A A A A A A A A A A A C t O T S 7 J z M 9 T C I b Q h t Y A U E s B A i 0 A F A A C A A g A R Y V l W 0 g S M W m j A A A A 9 w A A A B I A A A A A A A A A A A A A A A A A A A A A A E N v b m Z p Z y 9 Q Y W N r Y W d l L n h t b F B L A Q I t A B Q A A g A I A E W F Z V s P y u m r p A A A A O k A A A A T A A A A A A A A A A A A A A A A A O 8 A A A B b Q 2 9 u d G V u d F 9 U e X B l c 1 0 u e G 1 s U E s B A i 0 A F A A C A A g A R Y V l 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Q Y 2 l J 6 Q e V E q X 8 N O u F x 1 w 0 A A A A A A g A A A A A A E G Y A A A A B A A A g A A A A o 6 y w O 5 4 u C 2 j 0 M a u q S D + T m Q x W m 3 5 y f L 4 I l q m n n M F 5 q j E A A A A A D o A A A A A C A A A g A A A A 7 I M H h w e s o K 1 o 9 i T m w P k 9 r I K X k W A z 0 X V s H i b Z R L e A V 7 F Q A A A A D 2 h 2 + 9 y A q C k M b z a + i t 3 6 k N R / E I I k Q L Z J w g Y R a M g X o z l / v Q 7 h T U Y x 7 h 1 x B b w T f S W r 4 1 i S G Q 0 r V + m i 7 z 9 f P g Y / l w H M X 3 q N B Y a D b 5 p I x t H l q a B A A A A A 8 t 3 E m z s 6 m v 9 U B c O B R p W i k G Z i x o w R t u w J W t m Z X A A i A S + r G S l 4 / O 0 i B D p / 2 A u A 9 e k L 8 r A q W O p X T 7 f w 3 A h b B G p e z g = = < / D a t a M a s h u p > 
</file>

<file path=customXml/item4.xml><?xml version="1.0" encoding="utf-8"?>
<ct:contentTypeSchema xmlns:ct="http://schemas.microsoft.com/office/2006/metadata/contentType" xmlns:ma="http://schemas.microsoft.com/office/2006/metadata/properties/metaAttributes" ct:_="" ma:_="" ma:contentTypeName="Dokument" ma:contentTypeID="0x010100057F78B3A68FCF4985B3F1B3424A0831" ma:contentTypeVersion="26" ma:contentTypeDescription="Loo uus dokument" ma:contentTypeScope="" ma:versionID="7a7e8af143c797d3ea9e5dbeec0b8a25">
  <xsd:schema xmlns:xsd="http://www.w3.org/2001/XMLSchema" xmlns:xs="http://www.w3.org/2001/XMLSchema" xmlns:p="http://schemas.microsoft.com/office/2006/metadata/properties" xmlns:ns2="2b692f12-ff26-4f14-943c-67ca148ef41b" xmlns:ns3="899f25cb-101e-41cf-99cb-f09277f440cc" targetNamespace="http://schemas.microsoft.com/office/2006/metadata/properties" ma:root="true" ma:fieldsID="aad1df815e3ec30770cc709ad9550df6" ns2:_="" ns3:_="">
    <xsd:import namespace="2b692f12-ff26-4f14-943c-67ca148ef41b"/>
    <xsd:import namespace="899f25cb-101e-41cf-99cb-f09277f440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ate" minOccurs="0"/>
                <xsd:element ref="ns2:kuup_x00e4_ev" minOccurs="0"/>
                <xsd:element ref="ns2:MediaServiceBillingMetadata"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692f12-ff26-4f14-943c-67ca148ef41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Pildisildid" ma:readOnly="false" ma:fieldId="{5cf76f15-5ced-4ddc-b409-7134ff3c332f}" ma:taxonomyMulti="true" ma:sspId="d7b93555-b4aa-464f-83a6-e97c6873dea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6" nillable="true" ma:displayName="Date" ma:format="DateTime" ma:internalName="Date">
      <xsd:simpleType>
        <xsd:restriction base="dms:DateTime"/>
      </xsd:simpleType>
    </xsd:element>
    <xsd:element name="kuup_x00e4_ev" ma:index="27" nillable="true" ma:displayName="kuupäev" ma:format="DateTime" ma:internalName="kuup_x00e4_ev">
      <xsd:simpleType>
        <xsd:restriction base="dms:DateTim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ateandtime" ma:index="29" nillable="true" ma:displayName="Date and time" ma:format="DateOnly"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99f25cb-101e-41cf-99cb-f09277f440cc" elementFormDefault="qualified">
    <xsd:import namespace="http://schemas.microsoft.com/office/2006/documentManagement/types"/>
    <xsd:import namespace="http://schemas.microsoft.com/office/infopath/2007/PartnerControls"/>
    <xsd:element name="SharedWithUsers" ma:index="10"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description="" ma:internalName="SharedWithDetails" ma:readOnly="true">
      <xsd:simpleType>
        <xsd:restriction base="dms:Note">
          <xsd:maxLength value="255"/>
        </xsd:restriction>
      </xsd:simpleType>
    </xsd:element>
    <xsd:element name="TaxCatchAll" ma:index="23" nillable="true" ma:displayName="Taxonomy Catch All Column" ma:hidden="true" ma:list="{494fd98e-36ec-4a1d-b1ad-fed99631b968}" ma:internalName="TaxCatchAll" ma:showField="CatchAllData" ma:web="899f25cb-101e-41cf-99cb-f09277f44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AEBEB4-5E72-4FBD-9F7E-8C1246855577}">
  <ds:schemaRefs>
    <ds:schemaRef ds:uri="http://schemas.microsoft.com/sharepoint/v3/contenttype/forms"/>
  </ds:schemaRefs>
</ds:datastoreItem>
</file>

<file path=customXml/itemProps2.xml><?xml version="1.0" encoding="utf-8"?>
<ds:datastoreItem xmlns:ds="http://schemas.openxmlformats.org/officeDocument/2006/customXml" ds:itemID="{66691776-1555-4B27-B4CD-048B71F57397}">
  <ds:schemaRefs>
    <ds:schemaRef ds:uri="http://purl.org/dc/elements/1.1/"/>
    <ds:schemaRef ds:uri="http://schemas.microsoft.com/office/2006/metadata/properties"/>
    <ds:schemaRef ds:uri="http://www.w3.org/XML/1998/namespace"/>
    <ds:schemaRef ds:uri="http://schemas.openxmlformats.org/package/2006/metadata/core-properties"/>
    <ds:schemaRef ds:uri="899f25cb-101e-41cf-99cb-f09277f440cc"/>
    <ds:schemaRef ds:uri="http://schemas.microsoft.com/office/2006/documentManagement/types"/>
    <ds:schemaRef ds:uri="2b692f12-ff26-4f14-943c-67ca148ef41b"/>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D9F2EDAF-B204-4190-B888-CDB140983379}">
  <ds:schemaRefs>
    <ds:schemaRef ds:uri="http://schemas.microsoft.com/DataMashup"/>
  </ds:schemaRefs>
</ds:datastoreItem>
</file>

<file path=customXml/itemProps4.xml><?xml version="1.0" encoding="utf-8"?>
<ds:datastoreItem xmlns:ds="http://schemas.openxmlformats.org/officeDocument/2006/customXml" ds:itemID="{52231882-3D1B-4D73-B295-B688761E5E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692f12-ff26-4f14-943c-67ca148ef41b"/>
    <ds:schemaRef ds:uri="899f25cb-101e-41cf-99cb-f09277f44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10</vt:i4>
      </vt:variant>
    </vt:vector>
  </HeadingPairs>
  <TitlesOfParts>
    <vt:vector size="40" baseType="lpstr">
      <vt:lpstr>MEETMED</vt:lpstr>
      <vt:lpstr>TULEMUSED</vt:lpstr>
      <vt:lpstr>SISENDID</vt:lpstr>
      <vt:lpstr>HO1</vt:lpstr>
      <vt:lpstr>HO3,8</vt:lpstr>
      <vt:lpstr>HO4</vt:lpstr>
      <vt:lpstr>HO5-7</vt:lpstr>
      <vt:lpstr>HO10,13</vt:lpstr>
      <vt:lpstr>HO12</vt:lpstr>
      <vt:lpstr>SM1</vt:lpstr>
      <vt:lpstr>SM2</vt:lpstr>
      <vt:lpstr>SM3</vt:lpstr>
      <vt:lpstr>EL2</vt:lpstr>
      <vt:lpstr>TR1-5</vt:lpstr>
      <vt:lpstr>TR11</vt:lpstr>
      <vt:lpstr>TR12</vt:lpstr>
      <vt:lpstr>TR13-18</vt:lpstr>
      <vt:lpstr>TR19-21</vt:lpstr>
      <vt:lpstr>TR22-30</vt:lpstr>
      <vt:lpstr>TR31-34</vt:lpstr>
      <vt:lpstr>TR35</vt:lpstr>
      <vt:lpstr>TR36,37,44</vt:lpstr>
      <vt:lpstr>TR38-43</vt:lpstr>
      <vt:lpstr>TR15</vt:lpstr>
      <vt:lpstr>TR45</vt:lpstr>
      <vt:lpstr>TR46</vt:lpstr>
      <vt:lpstr>EN1</vt:lpstr>
      <vt:lpstr>MA1-5</vt:lpstr>
      <vt:lpstr>RL1-2</vt:lpstr>
      <vt:lpstr>CCU1</vt:lpstr>
      <vt:lpstr>SISENDID!para9lg1p1</vt:lpstr>
      <vt:lpstr>SISENDID!para9lg1p10</vt:lpstr>
      <vt:lpstr>SISENDID!para9lg1p2</vt:lpstr>
      <vt:lpstr>SISENDID!para9lg1p3</vt:lpstr>
      <vt:lpstr>SISENDID!para9lg1p4</vt:lpstr>
      <vt:lpstr>SISENDID!para9lg1p5</vt:lpstr>
      <vt:lpstr>SISENDID!para9lg1p6</vt:lpstr>
      <vt:lpstr>SISENDID!para9lg1p7</vt:lpstr>
      <vt:lpstr>SISENDID!para9lg1p8</vt:lpstr>
      <vt:lpstr>SISENDID!para9lg1p9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Olavi Grünvald</dc:creator>
  <cp:keywords/>
  <dc:description/>
  <cp:lastModifiedBy>Marion Mets</cp:lastModifiedBy>
  <cp:revision/>
  <dcterms:created xsi:type="dcterms:W3CDTF">2025-05-06T12:31:38Z</dcterms:created>
  <dcterms:modified xsi:type="dcterms:W3CDTF">2026-03-04T06:40:58Z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0x010100057F78B3A68FCF4985B3F1B3424A0831</vt:lpwstr>
  </property>
  <property fmtid="{D5CDD505-2E9C-101B-9397-08002B2CF9AE}" pid="3" name="MediaServiceImageTags">
    <vt:lpwstr/>
  </property>
</Properties>
</file>