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tables/table1.xml" ContentType="application/vnd.openxmlformats-officedocument.spreadsheetml.table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16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7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\\intra.ttu.ee\home\kelepi\Documents\Magistritöö\K. Lepiksaar magistritöö koos lisadega\"/>
    </mc:Choice>
  </mc:AlternateContent>
  <bookViews>
    <workbookView xWindow="0" yWindow="0" windowWidth="28800" windowHeight="11460" tabRatio="741" firstSheet="8" activeTab="17"/>
  </bookViews>
  <sheets>
    <sheet name="suitsugaasid" sheetId="5" r:id="rId1"/>
    <sheet name="DIN EN 12952-15" sheetId="23" r:id="rId2"/>
    <sheet name="saadav soojus" sheetId="1" r:id="rId3"/>
    <sheet name="PES" sheetId="22" r:id="rId4"/>
    <sheet name="kasutegur, efektiivsus" sheetId="26" r:id="rId5"/>
    <sheet name="soojusvahetus" sheetId="15" r:id="rId6"/>
    <sheet name="kütteväärtused" sheetId="4" r:id="rId7"/>
    <sheet name="soojusjuhtivus" sheetId="17" r:id="rId8"/>
    <sheet name="Prandtl" sheetId="24" r:id="rId9"/>
    <sheet name="kinemaatiline viskoossus" sheetId="16" r:id="rId10"/>
    <sheet name="dünaamiline viskoossus" sheetId="18" r:id="rId11"/>
    <sheet name="kondensatsioonisoojus" sheetId="13" r:id="rId12"/>
    <sheet name="tihedused" sheetId="12" r:id="rId13"/>
    <sheet name="erisoojused" sheetId="11" r:id="rId14"/>
    <sheet name="molaarruumala" sheetId="14" r:id="rId15"/>
    <sheet name="psühromeetria" sheetId="7" r:id="rId16"/>
    <sheet name="tabelid" sheetId="8" r:id="rId17"/>
    <sheet name="reaalsed andmed" sheetId="19" r:id="rId18"/>
    <sheet name="skeem" sheetId="20" r:id="rId19"/>
    <sheet name="graafikud" sheetId="9" r:id="rId20"/>
    <sheet name="Tootjapoolsed graafikud" sheetId="25" r:id="rId21"/>
  </sheets>
  <definedNames>
    <definedName name="abs_dif">'reaalsed andmed'!$M$5:$M$64</definedName>
    <definedName name="aur_erisoojus">erisoojused!$F$34:$G$54</definedName>
    <definedName name="dün_visk">'dünaamiline viskoossus'!$B$4:$G$54</definedName>
    <definedName name="k_temp">soojusvahetus!$C$40</definedName>
    <definedName name="kastepunkt">psühromeetria!$C$4:$D$92</definedName>
    <definedName name="kin_visk">'kinemaatiline viskoossus'!$B$7:$G$57</definedName>
    <definedName name="kuiv_õhk">suitsugaasid!$C$8</definedName>
    <definedName name="kuivadgaasid_erisoojus">erisoojused!$I$4:$M$54</definedName>
    <definedName name="kütteväärtus">suitsugaasid!$C$5</definedName>
    <definedName name="kütus">'saadav soojus'!$P$7</definedName>
    <definedName name="kütuse_andmed">kütteväärtused!$B$12:$J$17</definedName>
    <definedName name="kütusekulu">'saadav soojus'!$P$9</definedName>
    <definedName name="liigõhutegur">suitsugaasid!$C$6</definedName>
    <definedName name="molaarruumala">molaarruumala!$B$4:$C$44</definedName>
    <definedName name="niiskus">'saadav soojus'!$P$10</definedName>
    <definedName name="NIISKUS_X">'saadav soojus'!$E$6</definedName>
    <definedName name="niiskusesisaldus">suitsugaasid!$C$13</definedName>
    <definedName name="prandtl">Prandtl!$B$10:$G$60</definedName>
    <definedName name="rel_dif">'reaalsed andmed'!$N$5:$N$64</definedName>
    <definedName name="sg_kin_visk">'kinemaatiline viskoossus'!$H$3</definedName>
    <definedName name="sg_soojusjuhtivus">soojusjuhtivus!$H$2</definedName>
    <definedName name="sg_temp">'saadav soojus'!$E$5</definedName>
    <definedName name="soojusjuhtivus">soojusjuhtivus!$B$7:$G$57</definedName>
    <definedName name="tihedus_sg">tihedused!$E$4:$J$54</definedName>
    <definedName name="v_niiskusesisaldus">'saadav soojus'!$K$6</definedName>
    <definedName name="vee_erisoojus">erisoojused!$B$4:$C$134</definedName>
    <definedName name="vee_kondsoojus">kondensatsioonisoojus!$B$4:$C$44</definedName>
    <definedName name="vee_spt">tihedused!$L$4:$N$53</definedName>
    <definedName name="vee_tihedus">tihedused!$B$4:$C$134</definedName>
    <definedName name="veeaur">suitsugaasid!$C$7</definedName>
    <definedName name="väljund_niiskus">psühromeetria!$B$4:$C$92</definedName>
    <definedName name="väljund_temp">'saadav soojus'!$K$5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9" i="19" l="1"/>
  <c r="F69" i="19"/>
  <c r="G69" i="19"/>
  <c r="H69" i="19"/>
  <c r="J69" i="19"/>
  <c r="K69" i="19"/>
  <c r="L69" i="19"/>
  <c r="M69" i="19"/>
  <c r="N69" i="19"/>
  <c r="O69" i="19"/>
  <c r="P69" i="19"/>
  <c r="Q69" i="19"/>
  <c r="R69" i="19"/>
  <c r="D69" i="19"/>
  <c r="E68" i="19"/>
  <c r="F68" i="19"/>
  <c r="G68" i="19"/>
  <c r="H68" i="19"/>
  <c r="J68" i="19"/>
  <c r="K68" i="19"/>
  <c r="L68" i="19"/>
  <c r="M68" i="19"/>
  <c r="N68" i="19"/>
  <c r="O68" i="19"/>
  <c r="P68" i="19"/>
  <c r="Q68" i="19"/>
  <c r="R68" i="19"/>
  <c r="D68" i="19"/>
  <c r="K112" i="19" l="1"/>
  <c r="K113" i="19"/>
  <c r="K114" i="19"/>
  <c r="K115" i="19"/>
  <c r="K116" i="19"/>
  <c r="K117" i="19"/>
  <c r="K118" i="19"/>
  <c r="K119" i="19"/>
  <c r="K120" i="19"/>
  <c r="K121" i="19"/>
  <c r="B37" i="19"/>
  <c r="H37" i="19"/>
  <c r="I37" i="19"/>
  <c r="M37" i="19"/>
  <c r="N37" i="19" s="1"/>
  <c r="P37" i="19"/>
  <c r="R37" i="19"/>
  <c r="B38" i="19"/>
  <c r="H38" i="19"/>
  <c r="I38" i="19"/>
  <c r="M38" i="19"/>
  <c r="N38" i="19" s="1"/>
  <c r="P38" i="19"/>
  <c r="R38" i="19"/>
  <c r="B39" i="19"/>
  <c r="H39" i="19"/>
  <c r="I39" i="19"/>
  <c r="M39" i="19"/>
  <c r="N39" i="19" s="1"/>
  <c r="P39" i="19"/>
  <c r="R39" i="19"/>
  <c r="B40" i="19"/>
  <c r="H40" i="19"/>
  <c r="I40" i="19"/>
  <c r="M40" i="19"/>
  <c r="N40" i="19" s="1"/>
  <c r="P40" i="19"/>
  <c r="R40" i="19"/>
  <c r="B41" i="19"/>
  <c r="H41" i="19"/>
  <c r="I41" i="19"/>
  <c r="M41" i="19"/>
  <c r="N41" i="19" s="1"/>
  <c r="P41" i="19"/>
  <c r="R41" i="19"/>
  <c r="B42" i="19"/>
  <c r="H42" i="19"/>
  <c r="I42" i="19"/>
  <c r="M42" i="19"/>
  <c r="N42" i="19" s="1"/>
  <c r="P42" i="19"/>
  <c r="R42" i="19"/>
  <c r="B43" i="19"/>
  <c r="H43" i="19"/>
  <c r="I43" i="19"/>
  <c r="M43" i="19"/>
  <c r="N43" i="19" s="1"/>
  <c r="P43" i="19"/>
  <c r="R43" i="19"/>
  <c r="B44" i="19"/>
  <c r="H44" i="19"/>
  <c r="I44" i="19"/>
  <c r="M44" i="19"/>
  <c r="N44" i="19" s="1"/>
  <c r="P44" i="19"/>
  <c r="R44" i="19"/>
  <c r="B45" i="19"/>
  <c r="H45" i="19"/>
  <c r="M45" i="19"/>
  <c r="N45" i="19" s="1"/>
  <c r="P45" i="19"/>
  <c r="R45" i="19"/>
  <c r="B46" i="19"/>
  <c r="H46" i="19"/>
  <c r="M46" i="19"/>
  <c r="N46" i="19" s="1"/>
  <c r="P46" i="19"/>
  <c r="R46" i="19"/>
  <c r="B47" i="19"/>
  <c r="H47" i="19"/>
  <c r="M47" i="19"/>
  <c r="N47" i="19" s="1"/>
  <c r="P47" i="19"/>
  <c r="R47" i="19"/>
  <c r="B48" i="19"/>
  <c r="H48" i="19"/>
  <c r="M48" i="19"/>
  <c r="N48" i="19" s="1"/>
  <c r="P48" i="19"/>
  <c r="R48" i="19"/>
  <c r="B49" i="19"/>
  <c r="H49" i="19"/>
  <c r="M49" i="19"/>
  <c r="N49" i="19" s="1"/>
  <c r="P49" i="19"/>
  <c r="R49" i="19"/>
  <c r="B50" i="19"/>
  <c r="H50" i="19"/>
  <c r="M50" i="19"/>
  <c r="N50" i="19" s="1"/>
  <c r="P50" i="19"/>
  <c r="R50" i="19"/>
  <c r="B51" i="19"/>
  <c r="H51" i="19"/>
  <c r="M51" i="19"/>
  <c r="N51" i="19" s="1"/>
  <c r="P51" i="19"/>
  <c r="R51" i="19"/>
  <c r="B52" i="19"/>
  <c r="H52" i="19"/>
  <c r="M52" i="19"/>
  <c r="N52" i="19" s="1"/>
  <c r="P52" i="19"/>
  <c r="R52" i="19"/>
  <c r="B53" i="19"/>
  <c r="H53" i="19"/>
  <c r="M53" i="19"/>
  <c r="N53" i="19" s="1"/>
  <c r="P53" i="19"/>
  <c r="R53" i="19"/>
  <c r="B54" i="19"/>
  <c r="H54" i="19"/>
  <c r="M54" i="19"/>
  <c r="N54" i="19" s="1"/>
  <c r="P54" i="19"/>
  <c r="R54" i="19"/>
  <c r="B8" i="26" l="1"/>
  <c r="B9" i="26" s="1"/>
  <c r="B10" i="26" s="1"/>
  <c r="B11" i="26" s="1"/>
  <c r="B12" i="26" s="1"/>
  <c r="B13" i="26" s="1"/>
  <c r="B14" i="26" s="1"/>
  <c r="B15" i="26" s="1"/>
  <c r="B16" i="26" s="1"/>
  <c r="B17" i="26" s="1"/>
  <c r="B18" i="26" s="1"/>
  <c r="B19" i="26" s="1"/>
  <c r="B20" i="26" s="1"/>
  <c r="B21" i="26" s="1"/>
  <c r="B22" i="26" s="1"/>
  <c r="B23" i="26" s="1"/>
  <c r="B24" i="26" s="1"/>
  <c r="B25" i="26" s="1"/>
  <c r="B26" i="26" s="1"/>
  <c r="B27" i="26" s="1"/>
  <c r="B28" i="26" s="1"/>
  <c r="B29" i="26" s="1"/>
  <c r="B30" i="26" s="1"/>
  <c r="B31" i="26" s="1"/>
  <c r="B32" i="26" s="1"/>
  <c r="B33" i="26" s="1"/>
  <c r="B34" i="26" s="1"/>
  <c r="B55" i="19" l="1"/>
  <c r="B56" i="19"/>
  <c r="B57" i="19"/>
  <c r="B58" i="19"/>
  <c r="B59" i="19"/>
  <c r="B60" i="19"/>
  <c r="B61" i="19"/>
  <c r="B62" i="19"/>
  <c r="B63" i="19"/>
  <c r="B64" i="19"/>
  <c r="D25" i="16" l="1"/>
  <c r="D19" i="16"/>
  <c r="C24" i="24"/>
  <c r="D15" i="16"/>
  <c r="D11" i="16"/>
  <c r="D18" i="16"/>
  <c r="D8" i="16"/>
  <c r="N5" i="12"/>
  <c r="N6" i="12"/>
  <c r="N7" i="12"/>
  <c r="N8" i="12"/>
  <c r="N9" i="12"/>
  <c r="N10" i="12"/>
  <c r="N11" i="12"/>
  <c r="N12" i="12"/>
  <c r="N13" i="12"/>
  <c r="N14" i="12"/>
  <c r="N15" i="12"/>
  <c r="N16" i="12"/>
  <c r="N17" i="12"/>
  <c r="N18" i="12"/>
  <c r="N19" i="12"/>
  <c r="N20" i="12"/>
  <c r="N21" i="12"/>
  <c r="N22" i="12"/>
  <c r="N23" i="12"/>
  <c r="M5" i="12"/>
  <c r="M6" i="12"/>
  <c r="M7" i="12"/>
  <c r="M8" i="12"/>
  <c r="M9" i="12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M23" i="12"/>
  <c r="F26" i="16"/>
  <c r="F19" i="16"/>
  <c r="F14" i="16"/>
  <c r="E18" i="24"/>
  <c r="F9" i="16"/>
  <c r="E14" i="24"/>
  <c r="E16" i="24"/>
  <c r="E11" i="24"/>
  <c r="E9" i="16"/>
  <c r="E10" i="16"/>
  <c r="E14" i="16"/>
  <c r="D29" i="24"/>
  <c r="D26" i="24"/>
  <c r="E18" i="16"/>
  <c r="D11" i="24"/>
  <c r="C24" i="16"/>
  <c r="C26" i="16"/>
  <c r="C19" i="16"/>
  <c r="C14" i="16"/>
  <c r="C15" i="16"/>
  <c r="C13" i="16"/>
  <c r="C11" i="16"/>
  <c r="G26" i="16"/>
  <c r="F26" i="24"/>
  <c r="G18" i="16"/>
  <c r="F18" i="24"/>
  <c r="G16" i="16"/>
  <c r="G13" i="16"/>
  <c r="G8" i="16"/>
  <c r="G9" i="16"/>
  <c r="G10" i="16"/>
  <c r="G11" i="16"/>
  <c r="G12" i="16"/>
  <c r="G14" i="16"/>
  <c r="G17" i="16"/>
  <c r="G19" i="16"/>
  <c r="G20" i="16"/>
  <c r="G21" i="16"/>
  <c r="G22" i="16"/>
  <c r="G24" i="16"/>
  <c r="G25" i="16"/>
  <c r="G27" i="16"/>
  <c r="F10" i="16"/>
  <c r="F11" i="16"/>
  <c r="F12" i="16"/>
  <c r="F16" i="16"/>
  <c r="F17" i="16"/>
  <c r="F18" i="16"/>
  <c r="F20" i="16"/>
  <c r="F21" i="16"/>
  <c r="F22" i="16"/>
  <c r="F23" i="16"/>
  <c r="F24" i="16"/>
  <c r="F25" i="16"/>
  <c r="E11" i="16"/>
  <c r="E12" i="16"/>
  <c r="E13" i="16"/>
  <c r="E15" i="16"/>
  <c r="E16" i="16"/>
  <c r="E17" i="16"/>
  <c r="E19" i="16"/>
  <c r="E20" i="16"/>
  <c r="E21" i="16"/>
  <c r="E22" i="16"/>
  <c r="E23" i="16"/>
  <c r="E24" i="16"/>
  <c r="E25" i="16"/>
  <c r="E26" i="16"/>
  <c r="D9" i="16"/>
  <c r="D10" i="16"/>
  <c r="D12" i="16"/>
  <c r="D13" i="16"/>
  <c r="D14" i="16"/>
  <c r="D16" i="16"/>
  <c r="D17" i="16"/>
  <c r="D20" i="16"/>
  <c r="D21" i="16"/>
  <c r="D22" i="16"/>
  <c r="D23" i="16"/>
  <c r="D24" i="16"/>
  <c r="D26" i="16"/>
  <c r="C8" i="16"/>
  <c r="C9" i="16"/>
  <c r="C10" i="16"/>
  <c r="C12" i="16"/>
  <c r="C16" i="16"/>
  <c r="C17" i="16"/>
  <c r="C18" i="16"/>
  <c r="C20" i="16"/>
  <c r="C21" i="16"/>
  <c r="C22" i="16"/>
  <c r="C23" i="16"/>
  <c r="C25" i="16"/>
  <c r="G11" i="24"/>
  <c r="G12" i="24"/>
  <c r="G13" i="24"/>
  <c r="G14" i="24"/>
  <c r="G15" i="24"/>
  <c r="G16" i="24"/>
  <c r="G17" i="24"/>
  <c r="G18" i="24"/>
  <c r="G19" i="24"/>
  <c r="G20" i="24"/>
  <c r="G21" i="24"/>
  <c r="G23" i="24"/>
  <c r="G24" i="24"/>
  <c r="G25" i="24"/>
  <c r="G26" i="24"/>
  <c r="G28" i="24"/>
  <c r="G29" i="24"/>
  <c r="F12" i="24"/>
  <c r="F13" i="24"/>
  <c r="F14" i="24"/>
  <c r="F15" i="24"/>
  <c r="F17" i="24"/>
  <c r="F19" i="24"/>
  <c r="F20" i="24"/>
  <c r="F22" i="24"/>
  <c r="F23" i="24"/>
  <c r="F24" i="24"/>
  <c r="F25" i="24"/>
  <c r="F27" i="24"/>
  <c r="F28" i="24"/>
  <c r="F29" i="24"/>
  <c r="E12" i="24"/>
  <c r="E13" i="24"/>
  <c r="E15" i="24"/>
  <c r="E17" i="24"/>
  <c r="E19" i="24"/>
  <c r="E20" i="24"/>
  <c r="E21" i="24"/>
  <c r="E23" i="24"/>
  <c r="E24" i="24"/>
  <c r="E25" i="24"/>
  <c r="E26" i="24"/>
  <c r="E27" i="24"/>
  <c r="E28" i="24"/>
  <c r="E29" i="24"/>
  <c r="D12" i="24"/>
  <c r="D13" i="24"/>
  <c r="D14" i="24"/>
  <c r="D15" i="24"/>
  <c r="D16" i="24"/>
  <c r="D17" i="24"/>
  <c r="D18" i="24"/>
  <c r="D19" i="24"/>
  <c r="D20" i="24"/>
  <c r="D22" i="24"/>
  <c r="D23" i="24"/>
  <c r="D24" i="24"/>
  <c r="D25" i="24"/>
  <c r="D27" i="24"/>
  <c r="D28" i="24"/>
  <c r="C11" i="24"/>
  <c r="C12" i="24"/>
  <c r="C13" i="24"/>
  <c r="C15" i="24"/>
  <c r="C16" i="24"/>
  <c r="C17" i="24"/>
  <c r="C18" i="24"/>
  <c r="C19" i="24"/>
  <c r="C20" i="24"/>
  <c r="C23" i="24"/>
  <c r="C25" i="24"/>
  <c r="C26" i="24"/>
  <c r="C27" i="24"/>
  <c r="C28" i="24"/>
  <c r="C29" i="24"/>
  <c r="I9" i="11"/>
  <c r="I14" i="11" s="1"/>
  <c r="I19" i="11" s="1"/>
  <c r="B21" i="17"/>
  <c r="B20" i="17"/>
  <c r="B19" i="17"/>
  <c r="B18" i="17"/>
  <c r="B13" i="17"/>
  <c r="B14" i="17"/>
  <c r="B15" i="17"/>
  <c r="B16" i="17"/>
  <c r="B9" i="17"/>
  <c r="B10" i="17"/>
  <c r="B11" i="17"/>
  <c r="B8" i="17"/>
  <c r="J8" i="22"/>
  <c r="J9" i="22"/>
  <c r="J10" i="22"/>
  <c r="J11" i="22"/>
  <c r="J12" i="22"/>
  <c r="C22" i="24" l="1"/>
  <c r="C14" i="24"/>
  <c r="C21" i="24"/>
  <c r="E22" i="24"/>
  <c r="F15" i="16"/>
  <c r="F13" i="16"/>
  <c r="F8" i="16"/>
  <c r="D21" i="24"/>
  <c r="E8" i="16"/>
  <c r="G27" i="24"/>
  <c r="G22" i="24"/>
  <c r="G23" i="16"/>
  <c r="F21" i="24"/>
  <c r="F16" i="24"/>
  <c r="G15" i="16"/>
  <c r="F11" i="24"/>
  <c r="M6" i="19"/>
  <c r="N6" i="19" s="1"/>
  <c r="M7" i="19"/>
  <c r="N7" i="19" s="1"/>
  <c r="M8" i="19"/>
  <c r="N8" i="19" s="1"/>
  <c r="M9" i="19"/>
  <c r="N9" i="19" s="1"/>
  <c r="M10" i="19"/>
  <c r="N10" i="19" s="1"/>
  <c r="M11" i="19"/>
  <c r="N11" i="19" s="1"/>
  <c r="M12" i="19"/>
  <c r="N12" i="19" s="1"/>
  <c r="M13" i="19"/>
  <c r="N13" i="19" s="1"/>
  <c r="M14" i="19"/>
  <c r="N14" i="19" s="1"/>
  <c r="M15" i="19"/>
  <c r="N15" i="19" s="1"/>
  <c r="M16" i="19"/>
  <c r="N16" i="19" s="1"/>
  <c r="M17" i="19"/>
  <c r="N17" i="19" s="1"/>
  <c r="M18" i="19"/>
  <c r="N18" i="19" s="1"/>
  <c r="M19" i="19"/>
  <c r="N19" i="19" s="1"/>
  <c r="M20" i="19"/>
  <c r="N20" i="19" s="1"/>
  <c r="M21" i="19"/>
  <c r="N21" i="19" s="1"/>
  <c r="M22" i="19"/>
  <c r="N22" i="19" s="1"/>
  <c r="M23" i="19"/>
  <c r="N23" i="19" s="1"/>
  <c r="M24" i="19"/>
  <c r="N24" i="19" s="1"/>
  <c r="M25" i="19"/>
  <c r="N25" i="19" s="1"/>
  <c r="M26" i="19"/>
  <c r="N26" i="19" s="1"/>
  <c r="M27" i="19"/>
  <c r="N27" i="19" s="1"/>
  <c r="M28" i="19"/>
  <c r="N28" i="19" s="1"/>
  <c r="M29" i="19"/>
  <c r="N29" i="19" s="1"/>
  <c r="M30" i="19"/>
  <c r="N30" i="19" s="1"/>
  <c r="M31" i="19"/>
  <c r="N31" i="19" s="1"/>
  <c r="M32" i="19"/>
  <c r="N32" i="19" s="1"/>
  <c r="M33" i="19"/>
  <c r="N33" i="19" s="1"/>
  <c r="M34" i="19"/>
  <c r="N34" i="19" s="1"/>
  <c r="M35" i="19"/>
  <c r="N35" i="19" s="1"/>
  <c r="M36" i="19"/>
  <c r="N36" i="19" s="1"/>
  <c r="M55" i="19"/>
  <c r="N55" i="19" s="1"/>
  <c r="M56" i="19"/>
  <c r="N56" i="19" s="1"/>
  <c r="M57" i="19"/>
  <c r="N57" i="19" s="1"/>
  <c r="M58" i="19"/>
  <c r="N58" i="19" s="1"/>
  <c r="M59" i="19"/>
  <c r="N59" i="19" s="1"/>
  <c r="M60" i="19"/>
  <c r="N60" i="19" s="1"/>
  <c r="M61" i="19"/>
  <c r="N61" i="19" s="1"/>
  <c r="M62" i="19"/>
  <c r="N62" i="19" s="1"/>
  <c r="M63" i="19"/>
  <c r="N63" i="19" s="1"/>
  <c r="M64" i="19"/>
  <c r="N64" i="19" s="1"/>
  <c r="M5" i="19"/>
  <c r="N5" i="19" s="1"/>
  <c r="K122" i="19"/>
  <c r="K95" i="19"/>
  <c r="K96" i="19"/>
  <c r="K97" i="19"/>
  <c r="K98" i="19"/>
  <c r="K99" i="19"/>
  <c r="K100" i="19"/>
  <c r="K101" i="19"/>
  <c r="K102" i="19"/>
  <c r="K103" i="19"/>
  <c r="K104" i="19"/>
  <c r="K105" i="19"/>
  <c r="K106" i="19"/>
  <c r="K107" i="19"/>
  <c r="K82" i="19"/>
  <c r="K83" i="19"/>
  <c r="K84" i="19"/>
  <c r="K85" i="19"/>
  <c r="K86" i="19"/>
  <c r="K87" i="19"/>
  <c r="K88" i="19"/>
  <c r="K89" i="19"/>
  <c r="F75" i="19"/>
  <c r="F74" i="19"/>
  <c r="F80" i="19"/>
  <c r="F81" i="19"/>
  <c r="F82" i="19"/>
  <c r="F83" i="19"/>
  <c r="F84" i="19"/>
  <c r="F85" i="19"/>
  <c r="F86" i="19"/>
  <c r="F87" i="19"/>
  <c r="F88" i="19"/>
  <c r="F89" i="19"/>
  <c r="F90" i="19"/>
  <c r="F91" i="19"/>
  <c r="F92" i="19"/>
  <c r="F93" i="19"/>
  <c r="F94" i="19"/>
  <c r="F95" i="19"/>
  <c r="F96" i="19"/>
  <c r="F97" i="19"/>
  <c r="F98" i="19"/>
  <c r="F99" i="19"/>
  <c r="F105" i="19"/>
  <c r="F106" i="19"/>
  <c r="F107" i="19"/>
  <c r="F108" i="19"/>
  <c r="F109" i="19"/>
  <c r="F110" i="19"/>
  <c r="F111" i="19"/>
  <c r="F112" i="19"/>
  <c r="F113" i="19"/>
  <c r="F114" i="19"/>
  <c r="F115" i="19"/>
  <c r="F116" i="19"/>
  <c r="F117" i="19"/>
  <c r="F118" i="19"/>
  <c r="F119" i="19"/>
  <c r="F120" i="19"/>
  <c r="F121" i="19"/>
  <c r="F122" i="19"/>
  <c r="F123" i="19"/>
  <c r="F124" i="19"/>
  <c r="F125" i="19"/>
  <c r="F126" i="19"/>
  <c r="F127" i="19"/>
  <c r="F128" i="19"/>
  <c r="F129" i="19"/>
  <c r="F130" i="19"/>
  <c r="F131" i="19"/>
  <c r="F132" i="19"/>
  <c r="F133" i="19"/>
  <c r="F134" i="19"/>
  <c r="F135" i="19"/>
  <c r="F136" i="19"/>
  <c r="F137" i="19"/>
  <c r="F138" i="19"/>
  <c r="F139" i="19"/>
  <c r="F140" i="19"/>
  <c r="E141" i="19"/>
  <c r="J90" i="19"/>
  <c r="J108" i="19"/>
  <c r="J122" i="19"/>
  <c r="J123" i="19" s="1"/>
  <c r="K127" i="19"/>
  <c r="K128" i="19"/>
  <c r="K129" i="19"/>
  <c r="J130" i="19"/>
  <c r="K135" i="19"/>
  <c r="K136" i="19"/>
  <c r="K137" i="19"/>
  <c r="K138" i="19"/>
  <c r="K139" i="19"/>
  <c r="K140" i="19"/>
  <c r="K141" i="19"/>
  <c r="K142" i="19"/>
  <c r="J143" i="19"/>
  <c r="K148" i="19"/>
  <c r="K149" i="19"/>
  <c r="K150" i="19"/>
  <c r="K151" i="19"/>
  <c r="K153" i="19" s="1"/>
  <c r="K152" i="19"/>
  <c r="J153" i="19"/>
  <c r="J159" i="19"/>
  <c r="J160" i="19" s="1"/>
  <c r="K158" i="19"/>
  <c r="K159" i="19" s="1"/>
  <c r="K164" i="19"/>
  <c r="K165" i="19"/>
  <c r="K166" i="19"/>
  <c r="K167" i="19"/>
  <c r="K168" i="19"/>
  <c r="J169" i="19"/>
  <c r="I169" i="19"/>
  <c r="F104" i="19"/>
  <c r="F73" i="19"/>
  <c r="F79" i="19"/>
  <c r="K81" i="19"/>
  <c r="K94" i="19"/>
  <c r="K126" i="19"/>
  <c r="K134" i="19"/>
  <c r="K147" i="19"/>
  <c r="K157" i="19"/>
  <c r="K163" i="19"/>
  <c r="K169" i="19" s="1"/>
  <c r="E100" i="19"/>
  <c r="E75" i="19"/>
  <c r="I159" i="19"/>
  <c r="I153" i="19"/>
  <c r="H143" i="19"/>
  <c r="I143" i="19"/>
  <c r="I130" i="19"/>
  <c r="I122" i="19"/>
  <c r="I108" i="19"/>
  <c r="I90" i="19"/>
  <c r="D141" i="19"/>
  <c r="D100" i="19"/>
  <c r="D75" i="19"/>
  <c r="T6" i="8"/>
  <c r="T7" i="8"/>
  <c r="T8" i="8"/>
  <c r="T5" i="8"/>
  <c r="R6" i="8"/>
  <c r="R7" i="8"/>
  <c r="R8" i="8"/>
  <c r="R9" i="8"/>
  <c r="R5" i="8"/>
  <c r="P6" i="8"/>
  <c r="P7" i="8"/>
  <c r="P8" i="8"/>
  <c r="P9" i="8"/>
  <c r="P5" i="8"/>
  <c r="N6" i="8"/>
  <c r="N7" i="8"/>
  <c r="N8" i="8"/>
  <c r="N9" i="8"/>
  <c r="N10" i="8"/>
  <c r="N5" i="8"/>
  <c r="J12" i="8"/>
  <c r="J11" i="8"/>
  <c r="J10" i="8"/>
  <c r="J9" i="8"/>
  <c r="J8" i="8"/>
  <c r="J7" i="8"/>
  <c r="J6" i="8"/>
  <c r="J5" i="8"/>
  <c r="L6" i="8"/>
  <c r="L7" i="8"/>
  <c r="L8" i="8"/>
  <c r="L9" i="8"/>
  <c r="L10" i="8"/>
  <c r="L11" i="8"/>
  <c r="L5" i="8"/>
  <c r="H6" i="8"/>
  <c r="H7" i="8"/>
  <c r="H8" i="8"/>
  <c r="H9" i="8"/>
  <c r="H10" i="8"/>
  <c r="H11" i="8"/>
  <c r="H12" i="8"/>
  <c r="H5" i="8"/>
  <c r="F6" i="8"/>
  <c r="F7" i="8"/>
  <c r="F8" i="8"/>
  <c r="F9" i="8"/>
  <c r="F10" i="8"/>
  <c r="F11" i="8"/>
  <c r="F12" i="8"/>
  <c r="F13" i="8"/>
  <c r="F5" i="8"/>
  <c r="D6" i="8"/>
  <c r="D7" i="8"/>
  <c r="D8" i="8"/>
  <c r="D9" i="8"/>
  <c r="D10" i="8"/>
  <c r="D11" i="8"/>
  <c r="D12" i="8"/>
  <c r="D13" i="8"/>
  <c r="D5" i="8"/>
  <c r="J170" i="19" l="1"/>
  <c r="J154" i="19"/>
  <c r="J144" i="19"/>
  <c r="K130" i="19"/>
  <c r="J131" i="19"/>
  <c r="K108" i="19"/>
  <c r="J109" i="19"/>
  <c r="J91" i="19"/>
  <c r="K90" i="19"/>
  <c r="F141" i="19"/>
  <c r="E142" i="19"/>
  <c r="F100" i="19"/>
  <c r="E101" i="19"/>
  <c r="E76" i="19"/>
  <c r="N65" i="19"/>
  <c r="K143" i="19"/>
  <c r="H5" i="19"/>
  <c r="I5" i="19"/>
  <c r="R5" i="19"/>
  <c r="H6" i="19"/>
  <c r="I6" i="19"/>
  <c r="R6" i="19"/>
  <c r="H7" i="19"/>
  <c r="I7" i="19"/>
  <c r="R7" i="19"/>
  <c r="H8" i="19"/>
  <c r="I8" i="19"/>
  <c r="R8" i="19"/>
  <c r="H9" i="19"/>
  <c r="I9" i="19"/>
  <c r="P9" i="19"/>
  <c r="R9" i="19"/>
  <c r="H10" i="19"/>
  <c r="I10" i="19"/>
  <c r="P10" i="19"/>
  <c r="R10" i="19"/>
  <c r="H11" i="19"/>
  <c r="I11" i="19"/>
  <c r="P11" i="19"/>
  <c r="R11" i="19"/>
  <c r="H12" i="19"/>
  <c r="I12" i="19"/>
  <c r="P12" i="19"/>
  <c r="R12" i="19"/>
  <c r="H13" i="19"/>
  <c r="I13" i="19"/>
  <c r="P13" i="19"/>
  <c r="R13" i="19"/>
  <c r="H14" i="19"/>
  <c r="I14" i="19"/>
  <c r="P14" i="19"/>
  <c r="R14" i="19"/>
  <c r="H15" i="19"/>
  <c r="I15" i="19"/>
  <c r="P15" i="19"/>
  <c r="R15" i="19"/>
  <c r="H16" i="19"/>
  <c r="I16" i="19"/>
  <c r="P16" i="19"/>
  <c r="R16" i="19"/>
  <c r="H17" i="19"/>
  <c r="I17" i="19"/>
  <c r="P17" i="19"/>
  <c r="R17" i="19"/>
  <c r="H18" i="19"/>
  <c r="I18" i="19"/>
  <c r="P18" i="19"/>
  <c r="R18" i="19"/>
  <c r="H19" i="19"/>
  <c r="I19" i="19"/>
  <c r="P19" i="19"/>
  <c r="R19" i="19"/>
  <c r="H20" i="19"/>
  <c r="I20" i="19"/>
  <c r="P20" i="19"/>
  <c r="R20" i="19"/>
  <c r="H21" i="19"/>
  <c r="I21" i="19"/>
  <c r="P21" i="19"/>
  <c r="R21" i="19"/>
  <c r="H22" i="19"/>
  <c r="I22" i="19"/>
  <c r="P22" i="19"/>
  <c r="R22" i="19"/>
  <c r="H23" i="19"/>
  <c r="I23" i="19"/>
  <c r="P23" i="19"/>
  <c r="R23" i="19"/>
  <c r="H24" i="19"/>
  <c r="I24" i="19"/>
  <c r="P24" i="19"/>
  <c r="R24" i="19"/>
  <c r="H25" i="19"/>
  <c r="I25" i="19"/>
  <c r="P25" i="19"/>
  <c r="R25" i="19"/>
  <c r="H26" i="19"/>
  <c r="I26" i="19"/>
  <c r="P26" i="19"/>
  <c r="R26" i="19"/>
  <c r="H27" i="19"/>
  <c r="I27" i="19"/>
  <c r="P27" i="19"/>
  <c r="R27" i="19"/>
  <c r="H28" i="19"/>
  <c r="I28" i="19"/>
  <c r="P28" i="19"/>
  <c r="R28" i="19"/>
  <c r="H29" i="19"/>
  <c r="I29" i="19"/>
  <c r="P29" i="19"/>
  <c r="R29" i="19"/>
  <c r="H30" i="19"/>
  <c r="I30" i="19"/>
  <c r="P30" i="19"/>
  <c r="R30" i="19"/>
  <c r="H31" i="19"/>
  <c r="I31" i="19"/>
  <c r="P31" i="19"/>
  <c r="R31" i="19"/>
  <c r="H32" i="19"/>
  <c r="I32" i="19"/>
  <c r="P32" i="19"/>
  <c r="R32" i="19"/>
  <c r="H33" i="19"/>
  <c r="I33" i="19"/>
  <c r="P33" i="19"/>
  <c r="R33" i="19"/>
  <c r="H34" i="19"/>
  <c r="I34" i="19"/>
  <c r="P34" i="19"/>
  <c r="R34" i="19"/>
  <c r="H35" i="19"/>
  <c r="I35" i="19"/>
  <c r="P35" i="19"/>
  <c r="R35" i="19"/>
  <c r="H36" i="19"/>
  <c r="I36" i="19"/>
  <c r="P36" i="19"/>
  <c r="R36" i="19"/>
  <c r="H55" i="19"/>
  <c r="P55" i="19"/>
  <c r="R55" i="19"/>
  <c r="H56" i="19"/>
  <c r="P56" i="19"/>
  <c r="R56" i="19"/>
  <c r="H57" i="19"/>
  <c r="P57" i="19"/>
  <c r="R57" i="19"/>
  <c r="H58" i="19"/>
  <c r="P58" i="19"/>
  <c r="R58" i="19"/>
  <c r="H59" i="19"/>
  <c r="P59" i="19"/>
  <c r="R59" i="19"/>
  <c r="H60" i="19"/>
  <c r="P60" i="19"/>
  <c r="R60" i="19"/>
  <c r="H61" i="19"/>
  <c r="P61" i="19"/>
  <c r="R61" i="19"/>
  <c r="H62" i="19"/>
  <c r="P62" i="19"/>
  <c r="R62" i="19"/>
  <c r="H63" i="19"/>
  <c r="P63" i="19"/>
  <c r="R63" i="19"/>
  <c r="H64" i="19"/>
  <c r="P64" i="19"/>
  <c r="R64" i="19"/>
  <c r="L67" i="19"/>
  <c r="L66" i="19"/>
  <c r="L65" i="19"/>
  <c r="I69" i="19" l="1"/>
  <c r="I68" i="19"/>
  <c r="C8" i="15"/>
  <c r="B4" i="23"/>
  <c r="J4" i="23" s="1"/>
  <c r="G4" i="23" l="1"/>
  <c r="D4" i="23"/>
  <c r="H4" i="23"/>
  <c r="E4" i="23"/>
  <c r="I4" i="23"/>
  <c r="F4" i="23"/>
  <c r="L45" i="12" l="1"/>
  <c r="L46" i="12" s="1"/>
  <c r="L47" i="12" s="1"/>
  <c r="L48" i="12" s="1"/>
  <c r="L49" i="12" s="1"/>
  <c r="L50" i="12" s="1"/>
  <c r="L51" i="12" s="1"/>
  <c r="L52" i="12" s="1"/>
  <c r="L53" i="12" s="1"/>
  <c r="L54" i="12" s="1"/>
  <c r="N4" i="12"/>
  <c r="M24" i="12"/>
  <c r="M25" i="12"/>
  <c r="N24" i="12" s="1"/>
  <c r="M26" i="12"/>
  <c r="N25" i="12" s="1"/>
  <c r="M27" i="12"/>
  <c r="N26" i="12" s="1"/>
  <c r="M28" i="12"/>
  <c r="M29" i="12"/>
  <c r="N28" i="12" s="1"/>
  <c r="M30" i="12"/>
  <c r="N29" i="12" s="1"/>
  <c r="M31" i="12"/>
  <c r="N30" i="12" s="1"/>
  <c r="M32" i="12"/>
  <c r="M33" i="12"/>
  <c r="N32" i="12" s="1"/>
  <c r="M34" i="12"/>
  <c r="N33" i="12" s="1"/>
  <c r="M35" i="12"/>
  <c r="N34" i="12" s="1"/>
  <c r="M36" i="12"/>
  <c r="M37" i="12"/>
  <c r="N36" i="12" s="1"/>
  <c r="M38" i="12"/>
  <c r="N37" i="12" s="1"/>
  <c r="M39" i="12"/>
  <c r="N38" i="12" s="1"/>
  <c r="M40" i="12"/>
  <c r="M41" i="12"/>
  <c r="N40" i="12" s="1"/>
  <c r="M42" i="12"/>
  <c r="N41" i="12" s="1"/>
  <c r="M43" i="12"/>
  <c r="N42" i="12" s="1"/>
  <c r="M44" i="12"/>
  <c r="M45" i="12"/>
  <c r="N44" i="12" s="1"/>
  <c r="M46" i="12"/>
  <c r="M47" i="12"/>
  <c r="M48" i="12"/>
  <c r="M49" i="12"/>
  <c r="N48" i="12" s="1"/>
  <c r="M50" i="12"/>
  <c r="M51" i="12"/>
  <c r="M52" i="12"/>
  <c r="M53" i="12"/>
  <c r="N52" i="12" s="1"/>
  <c r="M54" i="12"/>
  <c r="M4" i="12"/>
  <c r="N50" i="12" l="1"/>
  <c r="N46" i="12"/>
  <c r="N49" i="12"/>
  <c r="N45" i="12"/>
  <c r="N53" i="12"/>
  <c r="N54" i="12"/>
  <c r="N51" i="12"/>
  <c r="N47" i="12"/>
  <c r="N43" i="12"/>
  <c r="N39" i="12"/>
  <c r="N35" i="12"/>
  <c r="N31" i="12"/>
  <c r="N27" i="12"/>
  <c r="G30" i="24"/>
  <c r="G31" i="24"/>
  <c r="G32" i="24"/>
  <c r="G33" i="24"/>
  <c r="G34" i="24"/>
  <c r="G35" i="24"/>
  <c r="G36" i="24"/>
  <c r="G37" i="24"/>
  <c r="G38" i="24"/>
  <c r="G39" i="24"/>
  <c r="G40" i="24"/>
  <c r="G41" i="24"/>
  <c r="G42" i="24"/>
  <c r="G43" i="24"/>
  <c r="G44" i="24"/>
  <c r="G45" i="24"/>
  <c r="G46" i="24"/>
  <c r="G47" i="24"/>
  <c r="G48" i="24"/>
  <c r="G49" i="24"/>
  <c r="G50" i="24"/>
  <c r="G51" i="24"/>
  <c r="G52" i="24"/>
  <c r="G53" i="24"/>
  <c r="G54" i="24"/>
  <c r="G55" i="24"/>
  <c r="G56" i="24"/>
  <c r="G57" i="24"/>
  <c r="G58" i="24"/>
  <c r="G59" i="24"/>
  <c r="G60" i="24"/>
  <c r="G10" i="24"/>
  <c r="F14" i="11"/>
  <c r="F19" i="11" s="1"/>
  <c r="F24" i="11" s="1"/>
  <c r="F25" i="11" s="1"/>
  <c r="F26" i="11" s="1"/>
  <c r="F27" i="11" s="1"/>
  <c r="F28" i="11" s="1"/>
  <c r="F29" i="11" s="1"/>
  <c r="F30" i="11" s="1"/>
  <c r="F31" i="11" s="1"/>
  <c r="F32" i="11" s="1"/>
  <c r="F33" i="11" s="1"/>
  <c r="F9" i="11"/>
  <c r="F30" i="24"/>
  <c r="F31" i="24"/>
  <c r="F32" i="24"/>
  <c r="F33" i="24"/>
  <c r="F34" i="24"/>
  <c r="F35" i="24"/>
  <c r="F36" i="24"/>
  <c r="F37" i="24"/>
  <c r="F38" i="24"/>
  <c r="F39" i="24"/>
  <c r="F40" i="24"/>
  <c r="F41" i="24"/>
  <c r="F42" i="24"/>
  <c r="F43" i="24"/>
  <c r="F44" i="24"/>
  <c r="F45" i="24"/>
  <c r="F46" i="24"/>
  <c r="F47" i="24"/>
  <c r="F48" i="24"/>
  <c r="F49" i="24"/>
  <c r="F50" i="24"/>
  <c r="F51" i="24"/>
  <c r="F52" i="24"/>
  <c r="F53" i="24"/>
  <c r="F54" i="24"/>
  <c r="F55" i="24"/>
  <c r="F56" i="24"/>
  <c r="F57" i="24"/>
  <c r="F58" i="24"/>
  <c r="F59" i="24"/>
  <c r="F60" i="24"/>
  <c r="F10" i="24"/>
  <c r="E30" i="24"/>
  <c r="E31" i="24"/>
  <c r="E32" i="24"/>
  <c r="E33" i="24"/>
  <c r="E34" i="24"/>
  <c r="E35" i="24"/>
  <c r="E36" i="24"/>
  <c r="E37" i="24"/>
  <c r="E38" i="24"/>
  <c r="E39" i="24"/>
  <c r="E40" i="24"/>
  <c r="E41" i="24"/>
  <c r="E42" i="24"/>
  <c r="E43" i="24"/>
  <c r="E44" i="24"/>
  <c r="E45" i="24"/>
  <c r="E46" i="24"/>
  <c r="E47" i="24"/>
  <c r="E48" i="24"/>
  <c r="E49" i="24"/>
  <c r="E50" i="24"/>
  <c r="E51" i="24"/>
  <c r="E52" i="24"/>
  <c r="E53" i="24"/>
  <c r="E54" i="24"/>
  <c r="E55" i="24"/>
  <c r="E56" i="24"/>
  <c r="E57" i="24"/>
  <c r="E58" i="24"/>
  <c r="E59" i="24"/>
  <c r="E60" i="24"/>
  <c r="E10" i="24"/>
  <c r="D30" i="24"/>
  <c r="D31" i="24"/>
  <c r="D32" i="24"/>
  <c r="D33" i="24"/>
  <c r="D34" i="24"/>
  <c r="D35" i="24"/>
  <c r="D36" i="24"/>
  <c r="D37" i="24"/>
  <c r="D38" i="24"/>
  <c r="D39" i="24"/>
  <c r="D40" i="24"/>
  <c r="D41" i="24"/>
  <c r="D42" i="24"/>
  <c r="D43" i="24"/>
  <c r="D44" i="24"/>
  <c r="D45" i="24"/>
  <c r="D46" i="24"/>
  <c r="D47" i="24"/>
  <c r="D48" i="24"/>
  <c r="D49" i="24"/>
  <c r="D50" i="24"/>
  <c r="D51" i="24"/>
  <c r="D52" i="24"/>
  <c r="D53" i="24"/>
  <c r="D54" i="24"/>
  <c r="D55" i="24"/>
  <c r="D56" i="24"/>
  <c r="D57" i="24"/>
  <c r="D58" i="24"/>
  <c r="D59" i="24"/>
  <c r="D60" i="24"/>
  <c r="D10" i="24"/>
  <c r="C30" i="24"/>
  <c r="C31" i="24"/>
  <c r="C32" i="24"/>
  <c r="C33" i="24"/>
  <c r="C34" i="24"/>
  <c r="C35" i="24"/>
  <c r="C36" i="24"/>
  <c r="C37" i="24"/>
  <c r="C38" i="24"/>
  <c r="C39" i="24"/>
  <c r="C40" i="24"/>
  <c r="C41" i="24"/>
  <c r="C42" i="24"/>
  <c r="C43" i="24"/>
  <c r="C44" i="24"/>
  <c r="C45" i="24"/>
  <c r="C46" i="24"/>
  <c r="C47" i="24"/>
  <c r="C48" i="24"/>
  <c r="C49" i="24"/>
  <c r="C50" i="24"/>
  <c r="C51" i="24"/>
  <c r="C52" i="24"/>
  <c r="C53" i="24"/>
  <c r="C54" i="24"/>
  <c r="C55" i="24"/>
  <c r="C56" i="24"/>
  <c r="C57" i="24"/>
  <c r="C58" i="24"/>
  <c r="C59" i="24"/>
  <c r="C60" i="24"/>
  <c r="C10" i="24"/>
  <c r="B15" i="24"/>
  <c r="B20" i="24" s="1"/>
  <c r="B25" i="24" s="1"/>
  <c r="B30" i="24" s="1"/>
  <c r="B31" i="24" s="1"/>
  <c r="B32" i="24" s="1"/>
  <c r="B33" i="24" s="1"/>
  <c r="B34" i="24" s="1"/>
  <c r="B35" i="24" s="1"/>
  <c r="B36" i="24" s="1"/>
  <c r="B37" i="24" s="1"/>
  <c r="B38" i="24" s="1"/>
  <c r="B39" i="24" s="1"/>
  <c r="B40" i="24" s="1"/>
  <c r="B41" i="24" s="1"/>
  <c r="B42" i="24" s="1"/>
  <c r="B43" i="24" s="1"/>
  <c r="B44" i="24" s="1"/>
  <c r="B45" i="24" s="1"/>
  <c r="B46" i="24" s="1"/>
  <c r="B47" i="24" s="1"/>
  <c r="B48" i="24" s="1"/>
  <c r="B49" i="24" s="1"/>
  <c r="B50" i="24" s="1"/>
  <c r="B51" i="24" s="1"/>
  <c r="B52" i="24" s="1"/>
  <c r="B53" i="24" s="1"/>
  <c r="B54" i="24" s="1"/>
  <c r="B55" i="24" s="1"/>
  <c r="B56" i="24" s="1"/>
  <c r="B57" i="24" s="1"/>
  <c r="B58" i="24" s="1"/>
  <c r="B59" i="24" s="1"/>
  <c r="B60" i="24" s="1"/>
  <c r="C34" i="15"/>
  <c r="C33" i="15"/>
  <c r="C31" i="15"/>
  <c r="D7" i="16"/>
  <c r="E7" i="16"/>
  <c r="F7" i="16"/>
  <c r="G7" i="16"/>
  <c r="D27" i="16"/>
  <c r="E27" i="16"/>
  <c r="F27" i="16"/>
  <c r="D28" i="16"/>
  <c r="E28" i="16"/>
  <c r="F28" i="16"/>
  <c r="G28" i="16"/>
  <c r="D29" i="16"/>
  <c r="E29" i="16"/>
  <c r="F29" i="16"/>
  <c r="G29" i="16"/>
  <c r="D30" i="16"/>
  <c r="E30" i="16"/>
  <c r="F30" i="16"/>
  <c r="G30" i="16"/>
  <c r="D31" i="16"/>
  <c r="E31" i="16"/>
  <c r="F31" i="16"/>
  <c r="G31" i="16"/>
  <c r="D32" i="16"/>
  <c r="E32" i="16"/>
  <c r="F32" i="16"/>
  <c r="G32" i="16"/>
  <c r="D33" i="16"/>
  <c r="E33" i="16"/>
  <c r="F33" i="16"/>
  <c r="G33" i="16"/>
  <c r="D34" i="16"/>
  <c r="E34" i="16"/>
  <c r="F34" i="16"/>
  <c r="G34" i="16"/>
  <c r="D35" i="16"/>
  <c r="E35" i="16"/>
  <c r="F35" i="16"/>
  <c r="G35" i="16"/>
  <c r="D36" i="16"/>
  <c r="E36" i="16"/>
  <c r="F36" i="16"/>
  <c r="G36" i="16"/>
  <c r="D37" i="16"/>
  <c r="E37" i="16"/>
  <c r="F37" i="16"/>
  <c r="G37" i="16"/>
  <c r="D38" i="16"/>
  <c r="E38" i="16"/>
  <c r="F38" i="16"/>
  <c r="G38" i="16"/>
  <c r="D39" i="16"/>
  <c r="E39" i="16"/>
  <c r="F39" i="16"/>
  <c r="G39" i="16"/>
  <c r="D40" i="16"/>
  <c r="E40" i="16"/>
  <c r="F40" i="16"/>
  <c r="G40" i="16"/>
  <c r="D41" i="16"/>
  <c r="E41" i="16"/>
  <c r="F41" i="16"/>
  <c r="G41" i="16"/>
  <c r="D42" i="16"/>
  <c r="E42" i="16"/>
  <c r="F42" i="16"/>
  <c r="G42" i="16"/>
  <c r="D43" i="16"/>
  <c r="E43" i="16"/>
  <c r="F43" i="16"/>
  <c r="G43" i="16"/>
  <c r="D44" i="16"/>
  <c r="E44" i="16"/>
  <c r="F44" i="16"/>
  <c r="G44" i="16"/>
  <c r="D45" i="16"/>
  <c r="E45" i="16"/>
  <c r="F45" i="16"/>
  <c r="G45" i="16"/>
  <c r="D46" i="16"/>
  <c r="E46" i="16"/>
  <c r="F46" i="16"/>
  <c r="G46" i="16"/>
  <c r="D47" i="16"/>
  <c r="E47" i="16"/>
  <c r="F47" i="16"/>
  <c r="G47" i="16"/>
  <c r="D48" i="16"/>
  <c r="E48" i="16"/>
  <c r="F48" i="16"/>
  <c r="G48" i="16"/>
  <c r="D49" i="16"/>
  <c r="E49" i="16"/>
  <c r="F49" i="16"/>
  <c r="G49" i="16"/>
  <c r="D50" i="16"/>
  <c r="E50" i="16"/>
  <c r="F50" i="16"/>
  <c r="G50" i="16"/>
  <c r="D51" i="16"/>
  <c r="E51" i="16"/>
  <c r="F51" i="16"/>
  <c r="G51" i="16"/>
  <c r="D52" i="16"/>
  <c r="E52" i="16"/>
  <c r="F52" i="16"/>
  <c r="G52" i="16"/>
  <c r="D53" i="16"/>
  <c r="E53" i="16"/>
  <c r="F53" i="16"/>
  <c r="G53" i="16"/>
  <c r="D54" i="16"/>
  <c r="E54" i="16"/>
  <c r="F54" i="16"/>
  <c r="G54" i="16"/>
  <c r="D55" i="16"/>
  <c r="E55" i="16"/>
  <c r="F55" i="16"/>
  <c r="G55" i="16"/>
  <c r="D56" i="16"/>
  <c r="E56" i="16"/>
  <c r="F56" i="16"/>
  <c r="G56" i="16"/>
  <c r="D57" i="16"/>
  <c r="E57" i="16"/>
  <c r="F57" i="16"/>
  <c r="G57" i="16"/>
  <c r="C27" i="16"/>
  <c r="C28" i="16"/>
  <c r="C29" i="16"/>
  <c r="C30" i="16"/>
  <c r="C31" i="16"/>
  <c r="C32" i="16"/>
  <c r="C33" i="16"/>
  <c r="C34" i="16"/>
  <c r="C35" i="16"/>
  <c r="C36" i="16"/>
  <c r="C37" i="16"/>
  <c r="C38" i="16"/>
  <c r="C39" i="16"/>
  <c r="C40" i="16"/>
  <c r="C41" i="16"/>
  <c r="C42" i="16"/>
  <c r="C43" i="16"/>
  <c r="C44" i="16"/>
  <c r="C45" i="16"/>
  <c r="C46" i="16"/>
  <c r="C47" i="16"/>
  <c r="C48" i="16"/>
  <c r="C49" i="16"/>
  <c r="C50" i="16"/>
  <c r="C51" i="16"/>
  <c r="C52" i="16"/>
  <c r="C53" i="16"/>
  <c r="C54" i="16"/>
  <c r="C55" i="16"/>
  <c r="C56" i="16"/>
  <c r="C57" i="16"/>
  <c r="C7" i="16"/>
  <c r="H29" i="12"/>
  <c r="E45" i="12"/>
  <c r="E46" i="12" s="1"/>
  <c r="E47" i="12" s="1"/>
  <c r="E48" i="12" s="1"/>
  <c r="E49" i="12" s="1"/>
  <c r="E50" i="12" s="1"/>
  <c r="E51" i="12" s="1"/>
  <c r="E52" i="12" s="1"/>
  <c r="E53" i="12" s="1"/>
  <c r="E54" i="12" s="1"/>
  <c r="B45" i="18"/>
  <c r="B46" i="18" s="1"/>
  <c r="B47" i="18" s="1"/>
  <c r="B48" i="18" s="1"/>
  <c r="B49" i="18" s="1"/>
  <c r="B50" i="18" s="1"/>
  <c r="B51" i="18" s="1"/>
  <c r="B52" i="18" s="1"/>
  <c r="B53" i="18" s="1"/>
  <c r="B54" i="18" s="1"/>
  <c r="B57" i="16"/>
  <c r="B55" i="16"/>
  <c r="B56" i="16"/>
  <c r="B49" i="16"/>
  <c r="B50" i="16"/>
  <c r="B51" i="16"/>
  <c r="B52" i="16" s="1"/>
  <c r="B53" i="16" s="1"/>
  <c r="B54" i="16" s="1"/>
  <c r="B48" i="16"/>
  <c r="B12" i="17"/>
  <c r="B17" i="17" s="1"/>
  <c r="B22" i="17" s="1"/>
  <c r="B27" i="17" s="1"/>
  <c r="B28" i="17" s="1"/>
  <c r="B29" i="17" s="1"/>
  <c r="B30" i="17" s="1"/>
  <c r="B31" i="17" s="1"/>
  <c r="B32" i="17" s="1"/>
  <c r="B33" i="17" s="1"/>
  <c r="B34" i="17" s="1"/>
  <c r="B35" i="17" s="1"/>
  <c r="B36" i="17" s="1"/>
  <c r="B37" i="17" s="1"/>
  <c r="C10" i="15"/>
  <c r="I7" i="15"/>
  <c r="B38" i="17" l="1"/>
  <c r="B39" i="17" s="1"/>
  <c r="B40" i="17" s="1"/>
  <c r="B41" i="17" s="1"/>
  <c r="B42" i="17" s="1"/>
  <c r="B43" i="17" s="1"/>
  <c r="B44" i="17" s="1"/>
  <c r="B45" i="17" s="1"/>
  <c r="B46" i="17" s="1"/>
  <c r="B47" i="17" s="1"/>
  <c r="B48" i="17" s="1"/>
  <c r="B49" i="17" s="1"/>
  <c r="B50" i="17" s="1"/>
  <c r="B51" i="17" s="1"/>
  <c r="B52" i="17" s="1"/>
  <c r="B53" i="17" s="1"/>
  <c r="B54" i="17" s="1"/>
  <c r="B55" i="17" s="1"/>
  <c r="B56" i="17" s="1"/>
  <c r="B57" i="17" s="1"/>
  <c r="I24" i="11"/>
  <c r="I25" i="11" s="1"/>
  <c r="I26" i="11" s="1"/>
  <c r="I27" i="11" s="1"/>
  <c r="I28" i="11" s="1"/>
  <c r="I29" i="11" s="1"/>
  <c r="I30" i="11" s="1"/>
  <c r="I31" i="11" s="1"/>
  <c r="I32" i="11" s="1"/>
  <c r="I33" i="11" s="1"/>
  <c r="I34" i="11" s="1"/>
  <c r="I35" i="11" s="1"/>
  <c r="I36" i="11" s="1"/>
  <c r="I37" i="11" s="1"/>
  <c r="I38" i="11" l="1"/>
  <c r="I39" i="11" s="1"/>
  <c r="I40" i="11" s="1"/>
  <c r="I41" i="11" s="1"/>
  <c r="I42" i="11" s="1"/>
  <c r="I43" i="11" s="1"/>
  <c r="I44" i="11" s="1"/>
  <c r="I45" i="11" s="1"/>
  <c r="I46" i="11" s="1"/>
  <c r="I47" i="11" s="1"/>
  <c r="I48" i="11" s="1"/>
  <c r="I49" i="11" s="1"/>
  <c r="I50" i="11" s="1"/>
  <c r="I51" i="11" s="1"/>
  <c r="I52" i="11" s="1"/>
  <c r="I53" i="11" s="1"/>
  <c r="I54" i="11" s="1"/>
  <c r="H65" i="19" l="1"/>
  <c r="H66" i="19"/>
  <c r="H67" i="19"/>
  <c r="J5" i="23"/>
  <c r="I5" i="23"/>
  <c r="H5" i="23"/>
  <c r="G5" i="23"/>
  <c r="F5" i="23"/>
  <c r="E5" i="23"/>
  <c r="D5" i="23"/>
  <c r="B6" i="19"/>
  <c r="B7" i="19"/>
  <c r="B8" i="19"/>
  <c r="B9" i="19"/>
  <c r="B10" i="19"/>
  <c r="B11" i="19"/>
  <c r="B12" i="19"/>
  <c r="B13" i="19"/>
  <c r="B14" i="19"/>
  <c r="B15" i="19"/>
  <c r="B16" i="19"/>
  <c r="B17" i="19"/>
  <c r="B18" i="19"/>
  <c r="B19" i="19"/>
  <c r="B20" i="19"/>
  <c r="B21" i="19"/>
  <c r="B22" i="19"/>
  <c r="B23" i="19"/>
  <c r="B24" i="19"/>
  <c r="B25" i="19"/>
  <c r="B26" i="19"/>
  <c r="B27" i="19"/>
  <c r="B28" i="19"/>
  <c r="B29" i="19"/>
  <c r="B30" i="19"/>
  <c r="B31" i="19"/>
  <c r="B32" i="19"/>
  <c r="B33" i="19"/>
  <c r="B34" i="19"/>
  <c r="B35" i="19"/>
  <c r="B36" i="19"/>
  <c r="B5" i="19"/>
  <c r="B66" i="19" l="1"/>
  <c r="B65" i="19"/>
  <c r="I12" i="4"/>
  <c r="I5" i="4"/>
  <c r="I6" i="4"/>
  <c r="I7" i="4"/>
  <c r="I8" i="4"/>
  <c r="I9" i="4"/>
  <c r="I10" i="4"/>
  <c r="I11" i="4"/>
  <c r="I4" i="4"/>
  <c r="I13" i="4"/>
  <c r="I17" i="4"/>
  <c r="B67" i="19" l="1"/>
  <c r="E65" i="19"/>
  <c r="E5" i="1" s="1"/>
  <c r="F65" i="19"/>
  <c r="G65" i="19"/>
  <c r="J65" i="19"/>
  <c r="K65" i="19"/>
  <c r="O65" i="19"/>
  <c r="P13" i="1" s="1"/>
  <c r="Q65" i="19"/>
  <c r="E67" i="19"/>
  <c r="F67" i="19"/>
  <c r="G67" i="19"/>
  <c r="J67" i="19"/>
  <c r="K67" i="19"/>
  <c r="O67" i="19"/>
  <c r="Q67" i="19"/>
  <c r="J66" i="19"/>
  <c r="K66" i="19"/>
  <c r="O66" i="19"/>
  <c r="Q66" i="19"/>
  <c r="D66" i="19"/>
  <c r="E66" i="19"/>
  <c r="F66" i="19"/>
  <c r="D67" i="19"/>
  <c r="G66" i="19"/>
  <c r="K5" i="1" l="1"/>
  <c r="G18" i="15" s="1"/>
  <c r="G27" i="15"/>
  <c r="K12" i="1"/>
  <c r="K13" i="1" s="1"/>
  <c r="F4" i="24"/>
  <c r="C4" i="24"/>
  <c r="E4" i="24"/>
  <c r="K6" i="1"/>
  <c r="G4" i="24"/>
  <c r="G22" i="15" s="1"/>
  <c r="D4" i="24"/>
  <c r="J20" i="1"/>
  <c r="J19" i="1"/>
  <c r="J21" i="1"/>
  <c r="J22" i="1"/>
  <c r="G21" i="15"/>
  <c r="I56" i="11"/>
  <c r="I57" i="11"/>
  <c r="R66" i="19"/>
  <c r="R65" i="19"/>
  <c r="R67" i="19"/>
  <c r="K14" i="1" l="1"/>
  <c r="G30" i="15"/>
  <c r="G25" i="15"/>
  <c r="E12" i="1"/>
  <c r="E13" i="1" s="1"/>
  <c r="E2" i="17"/>
  <c r="B6" i="24"/>
  <c r="G2" i="17"/>
  <c r="D2" i="17"/>
  <c r="C2" i="17"/>
  <c r="C14" i="15"/>
  <c r="F2" i="17"/>
  <c r="D2" i="16"/>
  <c r="C2" i="16"/>
  <c r="D2" i="24"/>
  <c r="C2" i="24"/>
  <c r="G2" i="24"/>
  <c r="F2" i="24"/>
  <c r="G2" i="16"/>
  <c r="E2" i="24"/>
  <c r="E2" i="16"/>
  <c r="F2" i="16"/>
  <c r="D22" i="1"/>
  <c r="D21" i="1"/>
  <c r="D20" i="1"/>
  <c r="D19" i="1"/>
  <c r="J56" i="11"/>
  <c r="M56" i="11"/>
  <c r="K56" i="11"/>
  <c r="L56" i="11"/>
  <c r="L57" i="11"/>
  <c r="J57" i="11"/>
  <c r="K57" i="11"/>
  <c r="M57" i="11"/>
  <c r="B10" i="22"/>
  <c r="B11" i="22" s="1"/>
  <c r="B12" i="22" s="1"/>
  <c r="B13" i="22" s="1"/>
  <c r="B14" i="22" s="1"/>
  <c r="B15" i="22" s="1"/>
  <c r="B16" i="22" s="1"/>
  <c r="B17" i="22" s="1"/>
  <c r="B18" i="22" s="1"/>
  <c r="B19" i="22" s="1"/>
  <c r="B20" i="22" s="1"/>
  <c r="B21" i="22" s="1"/>
  <c r="B22" i="22" s="1"/>
  <c r="B23" i="22" s="1"/>
  <c r="B24" i="22" s="1"/>
  <c r="B25" i="22" s="1"/>
  <c r="B26" i="22" s="1"/>
  <c r="B27" i="22" s="1"/>
  <c r="B28" i="22" s="1"/>
  <c r="B29" i="22" s="1"/>
  <c r="B30" i="22" s="1"/>
  <c r="B31" i="22" s="1"/>
  <c r="B32" i="22" s="1"/>
  <c r="B33" i="22" s="1"/>
  <c r="B34" i="22" s="1"/>
  <c r="B35" i="22" s="1"/>
  <c r="B36" i="22" s="1"/>
  <c r="G19" i="15" l="1"/>
  <c r="G17" i="15" s="1"/>
  <c r="E6" i="24"/>
  <c r="D6" i="24"/>
  <c r="G6" i="24"/>
  <c r="F6" i="24"/>
  <c r="C6" i="24"/>
  <c r="P12" i="1"/>
  <c r="P11" i="1" s="1"/>
  <c r="P65" i="19" l="1"/>
  <c r="P66" i="19"/>
  <c r="P67" i="19"/>
  <c r="D65" i="19" l="1"/>
  <c r="P5" i="1" s="1"/>
  <c r="T10" i="8" l="1"/>
  <c r="T14" i="8"/>
  <c r="T18" i="8"/>
  <c r="T22" i="8"/>
  <c r="T26" i="8"/>
  <c r="T30" i="8"/>
  <c r="R12" i="8"/>
  <c r="R16" i="8"/>
  <c r="R20" i="8"/>
  <c r="R24" i="8"/>
  <c r="R28" i="8"/>
  <c r="P10" i="8"/>
  <c r="P14" i="8"/>
  <c r="P18" i="8"/>
  <c r="P22" i="8"/>
  <c r="P26" i="8"/>
  <c r="P30" i="8"/>
  <c r="N12" i="8"/>
  <c r="N16" i="8"/>
  <c r="N20" i="8"/>
  <c r="N24" i="8"/>
  <c r="N28" i="8"/>
  <c r="H18" i="8"/>
  <c r="J30" i="8"/>
  <c r="J26" i="8"/>
  <c r="J22" i="8"/>
  <c r="J17" i="8"/>
  <c r="J13" i="8"/>
  <c r="L13" i="8"/>
  <c r="L17" i="8"/>
  <c r="L22" i="8"/>
  <c r="L26" i="8"/>
  <c r="L30" i="8"/>
  <c r="H16" i="8"/>
  <c r="H21" i="8"/>
  <c r="H25" i="8"/>
  <c r="H29" i="8"/>
  <c r="F15" i="8"/>
  <c r="F20" i="8"/>
  <c r="F24" i="8"/>
  <c r="F28" i="8"/>
  <c r="D14" i="8"/>
  <c r="D19" i="8"/>
  <c r="D23" i="8"/>
  <c r="D27" i="8"/>
  <c r="T12" i="8"/>
  <c r="T16" i="8"/>
  <c r="T20" i="8"/>
  <c r="T24" i="8"/>
  <c r="R18" i="8"/>
  <c r="R26" i="8"/>
  <c r="P20" i="8"/>
  <c r="P28" i="8"/>
  <c r="N18" i="8"/>
  <c r="N26" i="8"/>
  <c r="D18" i="8"/>
  <c r="J28" i="8"/>
  <c r="J20" i="8"/>
  <c r="L20" i="8"/>
  <c r="L24" i="8"/>
  <c r="L28" i="8"/>
  <c r="H27" i="8"/>
  <c r="F17" i="8"/>
  <c r="F30" i="8"/>
  <c r="D25" i="8"/>
  <c r="T11" i="8"/>
  <c r="T15" i="8"/>
  <c r="T19" i="8"/>
  <c r="T23" i="8"/>
  <c r="T27" i="8"/>
  <c r="R13" i="8"/>
  <c r="R17" i="8"/>
  <c r="R21" i="8"/>
  <c r="R25" i="8"/>
  <c r="R29" i="8"/>
  <c r="P11" i="8"/>
  <c r="P15" i="8"/>
  <c r="P19" i="8"/>
  <c r="P23" i="8"/>
  <c r="P27" i="8"/>
  <c r="N13" i="8"/>
  <c r="N17" i="8"/>
  <c r="N21" i="8"/>
  <c r="N25" i="8"/>
  <c r="N29" i="8"/>
  <c r="J18" i="8"/>
  <c r="J29" i="8"/>
  <c r="J25" i="8"/>
  <c r="J21" i="8"/>
  <c r="J16" i="8"/>
  <c r="L14" i="8"/>
  <c r="L19" i="8"/>
  <c r="L23" i="8"/>
  <c r="L27" i="8"/>
  <c r="H13" i="8"/>
  <c r="H17" i="8"/>
  <c r="H22" i="8"/>
  <c r="H26" i="8"/>
  <c r="H30" i="8"/>
  <c r="F16" i="8"/>
  <c r="F21" i="8"/>
  <c r="F25" i="8"/>
  <c r="F29" i="8"/>
  <c r="D15" i="8"/>
  <c r="D20" i="8"/>
  <c r="D24" i="8"/>
  <c r="D28" i="8"/>
  <c r="T28" i="8"/>
  <c r="R10" i="8"/>
  <c r="R14" i="8"/>
  <c r="R22" i="8"/>
  <c r="R30" i="8"/>
  <c r="P12" i="8"/>
  <c r="P16" i="8"/>
  <c r="P24" i="8"/>
  <c r="N14" i="8"/>
  <c r="N22" i="8"/>
  <c r="N30" i="8"/>
  <c r="L18" i="8"/>
  <c r="J24" i="8"/>
  <c r="J15" i="8"/>
  <c r="H14" i="8"/>
  <c r="H19" i="8"/>
  <c r="H23" i="8"/>
  <c r="F22" i="8"/>
  <c r="D21" i="8"/>
  <c r="T9" i="8"/>
  <c r="T13" i="8"/>
  <c r="T17" i="8"/>
  <c r="T21" i="8"/>
  <c r="T25" i="8"/>
  <c r="T29" i="8"/>
  <c r="R11" i="8"/>
  <c r="R15" i="8"/>
  <c r="R19" i="8"/>
  <c r="R23" i="8"/>
  <c r="R27" i="8"/>
  <c r="P13" i="8"/>
  <c r="P17" i="8"/>
  <c r="P21" i="8"/>
  <c r="P25" i="8"/>
  <c r="P29" i="8"/>
  <c r="N11" i="8"/>
  <c r="N15" i="8"/>
  <c r="N19" i="8"/>
  <c r="N23" i="8"/>
  <c r="N27" i="8"/>
  <c r="F18" i="8"/>
  <c r="J27" i="8"/>
  <c r="J23" i="8"/>
  <c r="J19" i="8"/>
  <c r="J14" i="8"/>
  <c r="L12" i="8"/>
  <c r="L16" i="8"/>
  <c r="L21" i="8"/>
  <c r="L25" i="8"/>
  <c r="L29" i="8"/>
  <c r="H15" i="8"/>
  <c r="H20" i="8"/>
  <c r="H24" i="8"/>
  <c r="H28" i="8"/>
  <c r="F14" i="8"/>
  <c r="F19" i="8"/>
  <c r="F23" i="8"/>
  <c r="F27" i="8"/>
  <c r="D17" i="8"/>
  <c r="D22" i="8"/>
  <c r="D26" i="8"/>
  <c r="D30" i="8"/>
  <c r="L15" i="8"/>
  <c r="F26" i="8"/>
  <c r="D16" i="8"/>
  <c r="D29" i="8"/>
  <c r="I67" i="19" l="1"/>
  <c r="I66" i="19"/>
  <c r="I65" i="19"/>
  <c r="M67" i="19"/>
  <c r="M66" i="19"/>
  <c r="M65" i="19"/>
  <c r="P10" i="1" l="1"/>
  <c r="C3" i="5" s="1"/>
  <c r="N67" i="19"/>
  <c r="N66" i="19"/>
  <c r="W15" i="5" l="1"/>
  <c r="E6" i="5"/>
  <c r="E5" i="5" s="1"/>
  <c r="E10" i="5"/>
  <c r="E9" i="5" s="1"/>
  <c r="W6" i="5"/>
  <c r="W7" i="5" s="1"/>
  <c r="K16" i="5"/>
  <c r="H6" i="23"/>
  <c r="R4" i="9"/>
  <c r="R5" i="9" s="1"/>
  <c r="R6" i="9" s="1"/>
  <c r="R7" i="9" s="1"/>
  <c r="R8" i="9" s="1"/>
  <c r="R9" i="9" s="1"/>
  <c r="R10" i="9" s="1"/>
  <c r="R11" i="9" s="1"/>
  <c r="R12" i="9" s="1"/>
  <c r="R13" i="9" s="1"/>
  <c r="H9" i="5" l="1"/>
  <c r="H10" i="5" s="1"/>
  <c r="K9" i="5"/>
  <c r="K10" i="5" s="1"/>
  <c r="W14" i="5" s="1"/>
  <c r="K5" i="5"/>
  <c r="H5" i="5"/>
  <c r="H17" i="23"/>
  <c r="H15" i="23"/>
  <c r="F6" i="23"/>
  <c r="G6" i="23"/>
  <c r="I6" i="23"/>
  <c r="E6" i="23"/>
  <c r="E19" i="23" s="1"/>
  <c r="D6" i="23"/>
  <c r="D17" i="23" s="1"/>
  <c r="H19" i="23"/>
  <c r="J6" i="23"/>
  <c r="J17" i="23" s="1"/>
  <c r="H13" i="23"/>
  <c r="H6" i="5" l="1"/>
  <c r="K17" i="5"/>
  <c r="K18" i="5" s="1"/>
  <c r="K6" i="5"/>
  <c r="W5" i="5" s="1"/>
  <c r="K7" i="5"/>
  <c r="E15" i="23"/>
  <c r="E17" i="23"/>
  <c r="E13" i="23"/>
  <c r="G19" i="23"/>
  <c r="G13" i="23"/>
  <c r="G17" i="23"/>
  <c r="G15" i="23"/>
  <c r="D19" i="23"/>
  <c r="D15" i="23"/>
  <c r="D13" i="23"/>
  <c r="F15" i="23"/>
  <c r="F17" i="23"/>
  <c r="F19" i="23"/>
  <c r="F13" i="23"/>
  <c r="J13" i="23"/>
  <c r="J15" i="23"/>
  <c r="J19" i="23"/>
  <c r="I17" i="23"/>
  <c r="I15" i="23"/>
  <c r="I19" i="23"/>
  <c r="I13" i="23"/>
  <c r="D15" i="7"/>
  <c r="D16" i="7" s="1"/>
  <c r="D17" i="7" s="1"/>
  <c r="D18" i="7" s="1"/>
  <c r="D19" i="7" s="1"/>
  <c r="D20" i="7" s="1"/>
  <c r="D21" i="7" s="1"/>
  <c r="D22" i="7" s="1"/>
  <c r="D23" i="7" s="1"/>
  <c r="D24" i="7" s="1"/>
  <c r="D25" i="7" s="1"/>
  <c r="D26" i="7" s="1"/>
  <c r="D27" i="7" s="1"/>
  <c r="D28" i="7" s="1"/>
  <c r="D29" i="7" s="1"/>
  <c r="D30" i="7" s="1"/>
  <c r="D31" i="7" s="1"/>
  <c r="D32" i="7" s="1"/>
  <c r="D33" i="7" s="1"/>
  <c r="D34" i="7" s="1"/>
  <c r="D35" i="7" s="1"/>
  <c r="D36" i="7" s="1"/>
  <c r="D37" i="7" s="1"/>
  <c r="D38" i="7" s="1"/>
  <c r="D39" i="7" s="1"/>
  <c r="D40" i="7" s="1"/>
  <c r="D41" i="7" s="1"/>
  <c r="D42" i="7" s="1"/>
  <c r="D43" i="7" s="1"/>
  <c r="D44" i="7" s="1"/>
  <c r="D45" i="7" s="1"/>
  <c r="D46" i="7" s="1"/>
  <c r="D47" i="7" s="1"/>
  <c r="D48" i="7" s="1"/>
  <c r="D49" i="7" s="1"/>
  <c r="D50" i="7" s="1"/>
  <c r="D51" i="7" s="1"/>
  <c r="D52" i="7" s="1"/>
  <c r="D53" i="7" s="1"/>
  <c r="D54" i="7" s="1"/>
  <c r="D55" i="7" s="1"/>
  <c r="D56" i="7" s="1"/>
  <c r="D57" i="7" s="1"/>
  <c r="D58" i="7" s="1"/>
  <c r="D59" i="7" s="1"/>
  <c r="D60" i="7" s="1"/>
  <c r="D61" i="7" s="1"/>
  <c r="D62" i="7" s="1"/>
  <c r="D63" i="7" s="1"/>
  <c r="D64" i="7" s="1"/>
  <c r="D65" i="7" s="1"/>
  <c r="D66" i="7" s="1"/>
  <c r="D67" i="7" s="1"/>
  <c r="D68" i="7" s="1"/>
  <c r="D69" i="7" s="1"/>
  <c r="D70" i="7" s="1"/>
  <c r="D71" i="7" s="1"/>
  <c r="D72" i="7" s="1"/>
  <c r="D73" i="7" s="1"/>
  <c r="D74" i="7" s="1"/>
  <c r="D75" i="7" s="1"/>
  <c r="D76" i="7" s="1"/>
  <c r="D77" i="7" s="1"/>
  <c r="D78" i="7" s="1"/>
  <c r="D79" i="7" s="1"/>
  <c r="D80" i="7" s="1"/>
  <c r="D81" i="7" s="1"/>
  <c r="D82" i="7" s="1"/>
  <c r="D83" i="7" s="1"/>
  <c r="D84" i="7" s="1"/>
  <c r="D85" i="7" s="1"/>
  <c r="D86" i="7" s="1"/>
  <c r="D87" i="7" s="1"/>
  <c r="D88" i="7" s="1"/>
  <c r="D89" i="7" s="1"/>
  <c r="D90" i="7" s="1"/>
  <c r="D91" i="7" s="1"/>
  <c r="D92" i="7" s="1"/>
  <c r="K19" i="5" l="1"/>
  <c r="K13" i="23"/>
  <c r="K15" i="23"/>
  <c r="K19" i="23"/>
  <c r="K17" i="23"/>
  <c r="F29" i="23" s="1"/>
  <c r="E35" i="23" s="1"/>
  <c r="C5" i="14"/>
  <c r="C6" i="14"/>
  <c r="C7" i="14"/>
  <c r="C8" i="14"/>
  <c r="C9" i="14"/>
  <c r="C10" i="14"/>
  <c r="C11" i="14"/>
  <c r="C12" i="14"/>
  <c r="C13" i="14"/>
  <c r="C14" i="14"/>
  <c r="C15" i="14"/>
  <c r="C16" i="14"/>
  <c r="C17" i="14"/>
  <c r="C18" i="14"/>
  <c r="C19" i="14"/>
  <c r="C20" i="14"/>
  <c r="C21" i="14"/>
  <c r="C22" i="14"/>
  <c r="C23" i="14"/>
  <c r="C24" i="14"/>
  <c r="C25" i="14"/>
  <c r="C26" i="14"/>
  <c r="C27" i="14"/>
  <c r="C28" i="14"/>
  <c r="C29" i="14"/>
  <c r="C30" i="14"/>
  <c r="C31" i="14"/>
  <c r="C32" i="14"/>
  <c r="C33" i="14"/>
  <c r="C34" i="14"/>
  <c r="C35" i="14"/>
  <c r="C36" i="14"/>
  <c r="C37" i="14"/>
  <c r="C38" i="14"/>
  <c r="C39" i="14"/>
  <c r="C40" i="14"/>
  <c r="C41" i="14"/>
  <c r="C42" i="14"/>
  <c r="C43" i="14"/>
  <c r="C44" i="14"/>
  <c r="C4" i="14"/>
  <c r="B38" i="14"/>
  <c r="B39" i="14" s="1"/>
  <c r="B40" i="14" s="1"/>
  <c r="B41" i="14" s="1"/>
  <c r="B42" i="14" s="1"/>
  <c r="B43" i="14" s="1"/>
  <c r="B44" i="14" s="1"/>
  <c r="B5" i="14"/>
  <c r="B6" i="14" s="1"/>
  <c r="B7" i="14" s="1"/>
  <c r="B8" i="14" s="1"/>
  <c r="B9" i="14" s="1"/>
  <c r="B10" i="14" s="1"/>
  <c r="B11" i="14" s="1"/>
  <c r="B12" i="14" s="1"/>
  <c r="B13" i="14" s="1"/>
  <c r="B14" i="14" s="1"/>
  <c r="B15" i="14" s="1"/>
  <c r="B16" i="14" s="1"/>
  <c r="B17" i="14" s="1"/>
  <c r="B18" i="14" s="1"/>
  <c r="B19" i="14" s="1"/>
  <c r="B20" i="14" s="1"/>
  <c r="B21" i="14" s="1"/>
  <c r="B22" i="14" s="1"/>
  <c r="B23" i="14" s="1"/>
  <c r="B24" i="14" s="1"/>
  <c r="B25" i="14" s="1"/>
  <c r="B26" i="14" s="1"/>
  <c r="B27" i="14" s="1"/>
  <c r="B28" i="14" s="1"/>
  <c r="B29" i="14" s="1"/>
  <c r="B30" i="14" s="1"/>
  <c r="B31" i="14" s="1"/>
  <c r="B32" i="14" s="1"/>
  <c r="B33" i="14" s="1"/>
  <c r="B34" i="14" s="1"/>
  <c r="B35" i="14" s="1"/>
  <c r="B36" i="14" s="1"/>
  <c r="B37" i="14" s="1"/>
  <c r="B44" i="13"/>
  <c r="B42" i="13"/>
  <c r="B43" i="13" s="1"/>
  <c r="B40" i="13"/>
  <c r="B41" i="13" s="1"/>
  <c r="B36" i="13"/>
  <c r="B37" i="13"/>
  <c r="B38" i="13" s="1"/>
  <c r="B39" i="13" s="1"/>
  <c r="B34" i="13"/>
  <c r="B35" i="13" s="1"/>
  <c r="B31" i="13"/>
  <c r="B32" i="13" s="1"/>
  <c r="B33" i="13" s="1"/>
  <c r="B26" i="13"/>
  <c r="B27" i="13"/>
  <c r="B28" i="13"/>
  <c r="B29" i="13" s="1"/>
  <c r="B30" i="13" s="1"/>
  <c r="B10" i="13"/>
  <c r="B11" i="13" s="1"/>
  <c r="B12" i="13" s="1"/>
  <c r="B13" i="13" s="1"/>
  <c r="B14" i="13" s="1"/>
  <c r="B15" i="13" s="1"/>
  <c r="B16" i="13" s="1"/>
  <c r="B17" i="13" s="1"/>
  <c r="B18" i="13" s="1"/>
  <c r="B19" i="13" s="1"/>
  <c r="B20" i="13" s="1"/>
  <c r="B21" i="13" s="1"/>
  <c r="B22" i="13" s="1"/>
  <c r="B23" i="13" s="1"/>
  <c r="B24" i="13" s="1"/>
  <c r="B25" i="13" s="1"/>
  <c r="B9" i="13"/>
  <c r="K26" i="5" l="1"/>
  <c r="H12" i="22" s="1"/>
  <c r="H9" i="22"/>
  <c r="K20" i="5"/>
  <c r="W8" i="5"/>
  <c r="W9" i="5" s="1"/>
  <c r="K24" i="5"/>
  <c r="K22" i="5"/>
  <c r="O3" i="23"/>
  <c r="F28" i="23"/>
  <c r="D35" i="23" s="1"/>
  <c r="W16" i="5" l="1"/>
  <c r="W13" i="5" s="1"/>
  <c r="C7" i="5" s="1"/>
  <c r="C28" i="23" s="1"/>
  <c r="D34" i="23" s="1"/>
  <c r="K25" i="5"/>
  <c r="H11" i="22"/>
  <c r="C19" i="1"/>
  <c r="I19" i="1" s="1"/>
  <c r="K19" i="1" s="1"/>
  <c r="H8" i="22"/>
  <c r="K23" i="5"/>
  <c r="H10" i="22"/>
  <c r="K21" i="5"/>
  <c r="C21" i="1"/>
  <c r="E21" i="1" s="1"/>
  <c r="C22" i="1"/>
  <c r="E22" i="1" s="1"/>
  <c r="C20" i="1"/>
  <c r="C29" i="23" s="1"/>
  <c r="K15" i="5"/>
  <c r="C30" i="23" s="1"/>
  <c r="F34" i="23" s="1"/>
  <c r="W10" i="5"/>
  <c r="W4" i="5" s="1"/>
  <c r="C10" i="5" s="1"/>
  <c r="I28" i="23"/>
  <c r="C2" i="5"/>
  <c r="E19" i="1" l="1"/>
  <c r="I29" i="23"/>
  <c r="E34" i="23"/>
  <c r="W11" i="5"/>
  <c r="C11" i="5" s="1"/>
  <c r="C22" i="15" s="1"/>
  <c r="I22" i="1"/>
  <c r="K22" i="1" s="1"/>
  <c r="I21" i="1"/>
  <c r="E20" i="1"/>
  <c r="I20" i="1"/>
  <c r="C8" i="24"/>
  <c r="C5" i="24" s="1"/>
  <c r="C4" i="17"/>
  <c r="C3" i="17" s="1"/>
  <c r="C13" i="5"/>
  <c r="E6" i="1" s="1"/>
  <c r="C31" i="23" s="1"/>
  <c r="C8" i="5"/>
  <c r="C27" i="23" s="1"/>
  <c r="C34" i="23" s="1"/>
  <c r="G4" i="16"/>
  <c r="G3" i="16" s="1"/>
  <c r="E4" i="17"/>
  <c r="E3" i="17" s="1"/>
  <c r="F8" i="24"/>
  <c r="F7" i="24" s="1"/>
  <c r="C26" i="23"/>
  <c r="G34" i="23" s="1"/>
  <c r="D4" i="17"/>
  <c r="D3" i="17" s="1"/>
  <c r="E4" i="16"/>
  <c r="E3" i="16" s="1"/>
  <c r="D8" i="24"/>
  <c r="F4" i="17"/>
  <c r="F3" i="17" s="1"/>
  <c r="D4" i="16"/>
  <c r="D3" i="16" s="1"/>
  <c r="F4" i="16"/>
  <c r="F3" i="16" s="1"/>
  <c r="E8" i="24"/>
  <c r="Q8" i="1"/>
  <c r="B16" i="7"/>
  <c r="B17" i="7" s="1"/>
  <c r="B15" i="7"/>
  <c r="C9" i="5" l="1"/>
  <c r="O7" i="23"/>
  <c r="D11" i="23" s="1"/>
  <c r="D10" i="23" s="1"/>
  <c r="K21" i="1"/>
  <c r="K20" i="1"/>
  <c r="C3" i="24"/>
  <c r="C7" i="24"/>
  <c r="C4" i="15"/>
  <c r="F5" i="24"/>
  <c r="F3" i="24"/>
  <c r="D7" i="24"/>
  <c r="D5" i="24"/>
  <c r="D3" i="24"/>
  <c r="E3" i="24"/>
  <c r="E7" i="24"/>
  <c r="E5" i="24"/>
  <c r="B18" i="7"/>
  <c r="B19" i="7" s="1"/>
  <c r="B20" i="7" s="1"/>
  <c r="B21" i="7" s="1"/>
  <c r="B22" i="7" s="1"/>
  <c r="B23" i="7" s="1"/>
  <c r="B24" i="7" s="1"/>
  <c r="B25" i="7" s="1"/>
  <c r="B26" i="7" s="1"/>
  <c r="B27" i="7" s="1"/>
  <c r="B28" i="7" s="1"/>
  <c r="B29" i="7" s="1"/>
  <c r="B30" i="7" s="1"/>
  <c r="B31" i="7" s="1"/>
  <c r="B32" i="7" s="1"/>
  <c r="B33" i="7" s="1"/>
  <c r="B34" i="7" s="1"/>
  <c r="B35" i="7" s="1"/>
  <c r="B36" i="7" s="1"/>
  <c r="B37" i="7" s="1"/>
  <c r="B38" i="7" s="1"/>
  <c r="B39" i="7" s="1"/>
  <c r="B40" i="7" s="1"/>
  <c r="B41" i="7" s="1"/>
  <c r="B42" i="7" s="1"/>
  <c r="B43" i="7" s="1"/>
  <c r="B44" i="7" s="1"/>
  <c r="B45" i="7" s="1"/>
  <c r="B46" i="7" s="1"/>
  <c r="B47" i="7" s="1"/>
  <c r="B48" i="7" s="1"/>
  <c r="B49" i="7" s="1"/>
  <c r="B50" i="7" s="1"/>
  <c r="B51" i="7" s="1"/>
  <c r="B52" i="7" s="1"/>
  <c r="B53" i="7" s="1"/>
  <c r="B54" i="7" s="1"/>
  <c r="B55" i="7" s="1"/>
  <c r="B56" i="7" s="1"/>
  <c r="B57" i="7" s="1"/>
  <c r="B58" i="7" s="1"/>
  <c r="B59" i="7" s="1"/>
  <c r="B60" i="7" s="1"/>
  <c r="B61" i="7" s="1"/>
  <c r="B62" i="7" s="1"/>
  <c r="B63" i="7" s="1"/>
  <c r="B64" i="7" s="1"/>
  <c r="B65" i="7" s="1"/>
  <c r="B66" i="7" s="1"/>
  <c r="B67" i="7" s="1"/>
  <c r="B68" i="7" s="1"/>
  <c r="B69" i="7" s="1"/>
  <c r="B70" i="7" s="1"/>
  <c r="B71" i="7" s="1"/>
  <c r="B72" i="7" s="1"/>
  <c r="B73" i="7" s="1"/>
  <c r="B74" i="7" s="1"/>
  <c r="B75" i="7" s="1"/>
  <c r="B76" i="7" s="1"/>
  <c r="B77" i="7" s="1"/>
  <c r="B78" i="7" s="1"/>
  <c r="B79" i="7" s="1"/>
  <c r="B80" i="7" s="1"/>
  <c r="B81" i="7" s="1"/>
  <c r="B82" i="7" s="1"/>
  <c r="B83" i="7" s="1"/>
  <c r="B84" i="7" s="1"/>
  <c r="B85" i="7" s="1"/>
  <c r="B86" i="7" s="1"/>
  <c r="B87" i="7" s="1"/>
  <c r="B88" i="7" s="1"/>
  <c r="B89" i="7" s="1"/>
  <c r="B90" i="7" s="1"/>
  <c r="B91" i="7" s="1"/>
  <c r="B92" i="7" s="1"/>
  <c r="C4" i="5"/>
  <c r="C5" i="5" s="1"/>
  <c r="P8" i="1" s="1"/>
  <c r="D9" i="23" l="1"/>
  <c r="F26" i="23" s="1"/>
  <c r="F30" i="23"/>
  <c r="P9" i="1"/>
  <c r="E17" i="1" s="1"/>
  <c r="I30" i="23" l="1"/>
  <c r="F35" i="23"/>
  <c r="I26" i="23"/>
  <c r="G35" i="23"/>
  <c r="F27" i="23"/>
  <c r="K11" i="22"/>
  <c r="K10" i="22"/>
  <c r="K12" i="22"/>
  <c r="K8" i="22"/>
  <c r="K9" i="22"/>
  <c r="K17" i="1"/>
  <c r="I16" i="4"/>
  <c r="I15" i="4"/>
  <c r="I14" i="4"/>
  <c r="H12" i="4"/>
  <c r="G12" i="4"/>
  <c r="F12" i="4"/>
  <c r="E12" i="4"/>
  <c r="D12" i="4"/>
  <c r="C12" i="4"/>
  <c r="I27" i="23" l="1"/>
  <c r="C35" i="23"/>
  <c r="K13" i="22"/>
  <c r="E8" i="1"/>
  <c r="K8" i="1" l="1"/>
  <c r="P19" i="1" s="1"/>
  <c r="G8" i="24"/>
  <c r="C4" i="16"/>
  <c r="C3" i="16" s="1"/>
  <c r="H3" i="16" s="1"/>
  <c r="C23" i="15" s="1"/>
  <c r="C24" i="15" s="1"/>
  <c r="G4" i="17"/>
  <c r="G3" i="17" s="1"/>
  <c r="H2" i="17" s="1"/>
  <c r="C20" i="15" s="1"/>
  <c r="C12" i="5"/>
  <c r="K11" i="1" l="1"/>
  <c r="K25" i="1" s="1"/>
  <c r="C43" i="15"/>
  <c r="G5" i="24"/>
  <c r="H5" i="24" s="1"/>
  <c r="C26" i="15" s="1"/>
  <c r="G3" i="24"/>
  <c r="H3" i="24" s="1"/>
  <c r="C27" i="15" s="1"/>
  <c r="G7" i="24"/>
  <c r="H7" i="24" s="1"/>
  <c r="C25" i="15" s="1"/>
  <c r="D20" i="23"/>
  <c r="F31" i="23" s="1"/>
  <c r="I31" i="23" s="1"/>
  <c r="E7" i="1"/>
  <c r="C21" i="15" l="1"/>
  <c r="C19" i="15" s="1"/>
  <c r="K7" i="1"/>
  <c r="I5" i="7" l="1"/>
  <c r="I10" i="7"/>
  <c r="I7" i="7"/>
  <c r="I9" i="7"/>
  <c r="I8" i="7"/>
  <c r="I4" i="7"/>
  <c r="I6" i="7"/>
  <c r="C40" i="15" l="1"/>
  <c r="C54" i="15" s="1"/>
  <c r="C49" i="15" l="1"/>
  <c r="C51" i="15" s="1"/>
  <c r="C41" i="15"/>
  <c r="C42" i="15"/>
  <c r="E14" i="1"/>
  <c r="E11" i="1" s="1"/>
  <c r="E25" i="1" s="1"/>
  <c r="P16" i="1" l="1"/>
  <c r="G23" i="15"/>
  <c r="C48" i="15"/>
  <c r="C50" i="15"/>
  <c r="C38" i="15"/>
  <c r="G24" i="15" l="1"/>
  <c r="P18" i="1"/>
  <c r="P20" i="1"/>
  <c r="C15" i="15"/>
  <c r="C13" i="15" s="1"/>
  <c r="G20" i="15"/>
  <c r="C52" i="15" s="1"/>
  <c r="G29" i="15" l="1"/>
  <c r="C53" i="15"/>
  <c r="C46" i="15" s="1"/>
  <c r="C18" i="15" s="1"/>
  <c r="G5" i="15" s="1"/>
  <c r="G26" i="15"/>
  <c r="G28" i="15" s="1"/>
  <c r="G7" i="15" l="1"/>
  <c r="G6" i="15"/>
  <c r="G4" i="15" l="1"/>
  <c r="G9" i="15" s="1"/>
  <c r="G10" i="15" s="1"/>
  <c r="P17" i="1" s="1"/>
  <c r="P22" i="1" s="1"/>
  <c r="O2" i="26" s="1"/>
  <c r="P21" i="1" l="1"/>
  <c r="N2" i="26" s="1"/>
</calcChain>
</file>

<file path=xl/sharedStrings.xml><?xml version="1.0" encoding="utf-8"?>
<sst xmlns="http://schemas.openxmlformats.org/spreadsheetml/2006/main" count="688" uniqueCount="415">
  <si>
    <r>
      <rPr>
        <sz val="11"/>
        <color theme="1"/>
        <rFont val="Times New Roman"/>
        <family val="1"/>
        <charset val="186"/>
      </rPr>
      <t>°</t>
    </r>
    <r>
      <rPr>
        <sz val="11"/>
        <color theme="1"/>
        <rFont val="Calibri Light"/>
        <family val="2"/>
        <charset val="186"/>
      </rPr>
      <t>C</t>
    </r>
  </si>
  <si>
    <t>kg/kg</t>
  </si>
  <si>
    <t>kg/s</t>
  </si>
  <si>
    <t>Tulemused</t>
  </si>
  <si>
    <t>Soojustagastuse osakaal katla võimsusest</t>
  </si>
  <si>
    <t>Lisaandmed</t>
  </si>
  <si>
    <t>Katla võimsus</t>
  </si>
  <si>
    <t>kütus</t>
  </si>
  <si>
    <t>puiduhake</t>
  </si>
  <si>
    <t>kütusekulu</t>
  </si>
  <si>
    <t>kütuse niiskus</t>
  </si>
  <si>
    <t>Kondensaadi kogus</t>
  </si>
  <si>
    <t>Kütuse liik</t>
  </si>
  <si>
    <t>ELEMENTAARANALÜÜS</t>
  </si>
  <si>
    <t>TEHNILINE ANALÜÜS</t>
  </si>
  <si>
    <t>arvutuslik</t>
  </si>
  <si>
    <t>Kuivaine alumine kütteväärtus, MJ/kg</t>
  </si>
  <si>
    <t>C, m%</t>
  </si>
  <si>
    <t>H, m%</t>
  </si>
  <si>
    <t>N, m%</t>
  </si>
  <si>
    <t>S, m%</t>
  </si>
  <si>
    <t>analüütiline niiskus, %</t>
  </si>
  <si>
    <t>tuha sisaldus, %</t>
  </si>
  <si>
    <t>O, m%</t>
  </si>
  <si>
    <t>vaher</t>
  </si>
  <si>
    <t>sanglepp</t>
  </si>
  <si>
    <t>hall lepp</t>
  </si>
  <si>
    <t>kask</t>
  </si>
  <si>
    <t>mänd</t>
  </si>
  <si>
    <t>kuusk</t>
  </si>
  <si>
    <t>haab</t>
  </si>
  <si>
    <t>valge lepp</t>
  </si>
  <si>
    <t>pelletid</t>
  </si>
  <si>
    <t>turvas</t>
  </si>
  <si>
    <t>põlevkivi</t>
  </si>
  <si>
    <t>kivisüsi</t>
  </si>
  <si>
    <t>Eestis kasutatava maagaasi koostis, %vol</t>
  </si>
  <si>
    <r>
      <t>CO</t>
    </r>
    <r>
      <rPr>
        <vertAlign val="subscript"/>
        <sz val="11"/>
        <rFont val="Calibri Light"/>
        <family val="2"/>
        <charset val="186"/>
        <scheme val="major"/>
      </rPr>
      <t>2</t>
    </r>
  </si>
  <si>
    <r>
      <t>N</t>
    </r>
    <r>
      <rPr>
        <vertAlign val="subscript"/>
        <sz val="11"/>
        <rFont val="Calibri Light"/>
        <family val="2"/>
        <charset val="186"/>
        <scheme val="major"/>
      </rPr>
      <t>2</t>
    </r>
  </si>
  <si>
    <r>
      <t>CH</t>
    </r>
    <r>
      <rPr>
        <vertAlign val="subscript"/>
        <sz val="11"/>
        <rFont val="Calibri Light"/>
        <family val="2"/>
        <charset val="186"/>
        <scheme val="major"/>
      </rPr>
      <t>4</t>
    </r>
  </si>
  <si>
    <r>
      <t>C</t>
    </r>
    <r>
      <rPr>
        <vertAlign val="subscript"/>
        <sz val="11"/>
        <rFont val="Calibri Light"/>
        <family val="2"/>
        <charset val="186"/>
        <scheme val="major"/>
      </rPr>
      <t>2</t>
    </r>
    <r>
      <rPr>
        <sz val="11"/>
        <rFont val="Calibri Light"/>
        <family val="2"/>
        <charset val="186"/>
        <scheme val="major"/>
      </rPr>
      <t>H</t>
    </r>
    <r>
      <rPr>
        <vertAlign val="subscript"/>
        <sz val="11"/>
        <rFont val="Calibri Light"/>
        <family val="2"/>
        <charset val="186"/>
        <scheme val="major"/>
      </rPr>
      <t>6</t>
    </r>
  </si>
  <si>
    <r>
      <t>C</t>
    </r>
    <r>
      <rPr>
        <vertAlign val="subscript"/>
        <sz val="11"/>
        <rFont val="Calibri Light"/>
        <family val="2"/>
        <charset val="186"/>
        <scheme val="major"/>
      </rPr>
      <t>3</t>
    </r>
    <r>
      <rPr>
        <sz val="11"/>
        <rFont val="Calibri Light"/>
        <family val="2"/>
        <charset val="186"/>
        <scheme val="major"/>
      </rPr>
      <t>H</t>
    </r>
    <r>
      <rPr>
        <vertAlign val="subscript"/>
        <sz val="11"/>
        <rFont val="Calibri Light"/>
        <family val="2"/>
        <charset val="186"/>
        <scheme val="major"/>
      </rPr>
      <t>8</t>
    </r>
  </si>
  <si>
    <r>
      <t>C</t>
    </r>
    <r>
      <rPr>
        <vertAlign val="subscript"/>
        <sz val="11"/>
        <rFont val="Calibri Light"/>
        <family val="2"/>
        <charset val="186"/>
        <scheme val="major"/>
      </rPr>
      <t>4</t>
    </r>
    <r>
      <rPr>
        <sz val="11"/>
        <rFont val="Calibri Light"/>
        <family val="2"/>
        <charset val="186"/>
        <scheme val="major"/>
      </rPr>
      <t>H</t>
    </r>
    <r>
      <rPr>
        <vertAlign val="subscript"/>
        <sz val="11"/>
        <rFont val="Calibri Light"/>
        <family val="2"/>
        <charset val="186"/>
        <scheme val="major"/>
      </rPr>
      <t>10</t>
    </r>
  </si>
  <si>
    <r>
      <t>C</t>
    </r>
    <r>
      <rPr>
        <vertAlign val="subscript"/>
        <sz val="11"/>
        <rFont val="Calibri Light"/>
        <family val="2"/>
        <charset val="186"/>
        <scheme val="major"/>
      </rPr>
      <t>5</t>
    </r>
    <r>
      <rPr>
        <sz val="11"/>
        <rFont val="Calibri Light"/>
        <family val="2"/>
        <charset val="186"/>
        <scheme val="major"/>
      </rPr>
      <t>H</t>
    </r>
    <r>
      <rPr>
        <vertAlign val="subscript"/>
        <sz val="11"/>
        <rFont val="Calibri Light"/>
        <family val="2"/>
        <charset val="186"/>
        <scheme val="major"/>
      </rPr>
      <t>12</t>
    </r>
  </si>
  <si>
    <t>maagaas</t>
  </si>
  <si>
    <t>MJ/kg</t>
  </si>
  <si>
    <t>C</t>
  </si>
  <si>
    <t>+</t>
  </si>
  <si>
    <t>=</t>
  </si>
  <si>
    <r>
      <t>O</t>
    </r>
    <r>
      <rPr>
        <vertAlign val="subscript"/>
        <sz val="11"/>
        <color theme="1"/>
        <rFont val="Calibri Light"/>
        <family val="2"/>
        <charset val="186"/>
        <scheme val="major"/>
      </rPr>
      <t>2</t>
    </r>
  </si>
  <si>
    <r>
      <t>CO</t>
    </r>
    <r>
      <rPr>
        <vertAlign val="subscript"/>
        <sz val="11"/>
        <color theme="1"/>
        <rFont val="Calibri Light"/>
        <family val="2"/>
        <charset val="186"/>
        <scheme val="major"/>
      </rPr>
      <t>2</t>
    </r>
  </si>
  <si>
    <r>
      <t>H</t>
    </r>
    <r>
      <rPr>
        <vertAlign val="subscript"/>
        <sz val="11"/>
        <color theme="1"/>
        <rFont val="Calibri Light"/>
        <family val="2"/>
        <charset val="186"/>
        <scheme val="major"/>
      </rPr>
      <t>2</t>
    </r>
    <r>
      <rPr>
        <sz val="11"/>
        <color theme="1"/>
        <rFont val="Calibri Light"/>
        <family val="2"/>
        <charset val="186"/>
        <scheme val="major"/>
      </rPr>
      <t>O</t>
    </r>
  </si>
  <si>
    <r>
      <t>H</t>
    </r>
    <r>
      <rPr>
        <vertAlign val="subscript"/>
        <sz val="11"/>
        <color theme="1"/>
        <rFont val="Calibri Light"/>
        <family val="2"/>
        <charset val="186"/>
        <scheme val="major"/>
      </rPr>
      <t>2</t>
    </r>
  </si>
  <si>
    <r>
      <t>kg</t>
    </r>
    <r>
      <rPr>
        <vertAlign val="subscript"/>
        <sz val="11"/>
        <color theme="1"/>
        <rFont val="Calibri Light"/>
        <family val="2"/>
        <charset val="186"/>
        <scheme val="major"/>
      </rPr>
      <t>H2O</t>
    </r>
    <r>
      <rPr>
        <sz val="11"/>
        <color theme="1"/>
        <rFont val="Calibri Light"/>
        <family val="2"/>
        <charset val="186"/>
        <scheme val="major"/>
      </rPr>
      <t>/kg</t>
    </r>
    <r>
      <rPr>
        <vertAlign val="subscript"/>
        <sz val="11"/>
        <color theme="1"/>
        <rFont val="Calibri Light"/>
        <family val="2"/>
        <charset val="186"/>
        <scheme val="major"/>
      </rPr>
      <t>k.õ</t>
    </r>
  </si>
  <si>
    <r>
      <t xml:space="preserve">Temperatuur, </t>
    </r>
    <r>
      <rPr>
        <sz val="11"/>
        <color theme="1"/>
        <rFont val="Times New Roman"/>
        <family val="1"/>
        <charset val="186"/>
      </rPr>
      <t>°</t>
    </r>
    <r>
      <rPr>
        <sz val="11"/>
        <color theme="1"/>
        <rFont val="Calibri Light"/>
        <family val="2"/>
        <charset val="186"/>
      </rPr>
      <t>C</t>
    </r>
  </si>
  <si>
    <t>RH = 100 %</t>
  </si>
  <si>
    <r>
      <t>niiskusesisaldus x kg</t>
    </r>
    <r>
      <rPr>
        <vertAlign val="subscript"/>
        <sz val="11"/>
        <color theme="1"/>
        <rFont val="Calibri Light"/>
        <family val="2"/>
        <charset val="186"/>
        <scheme val="major"/>
      </rPr>
      <t>H2O</t>
    </r>
    <r>
      <rPr>
        <sz val="11"/>
        <color theme="1"/>
        <rFont val="Calibri Light"/>
        <family val="2"/>
        <charset val="186"/>
        <scheme val="major"/>
      </rPr>
      <t>/kg</t>
    </r>
    <r>
      <rPr>
        <vertAlign val="subscript"/>
        <sz val="11"/>
        <color theme="1"/>
        <rFont val="Calibri Light"/>
        <family val="2"/>
        <charset val="186"/>
        <scheme val="major"/>
      </rPr>
      <t>k.õ.</t>
    </r>
  </si>
  <si>
    <t>MW</t>
  </si>
  <si>
    <t>Parameetrid</t>
  </si>
  <si>
    <t>Soojustagastuse osakaal</t>
  </si>
  <si>
    <t>Soojustagastuse algtemperatuur</t>
  </si>
  <si>
    <t>Kuivaine ülemine kütteväärtus, MJ/kg</t>
  </si>
  <si>
    <t>vesi</t>
  </si>
  <si>
    <t>Temperatuur t, °C</t>
  </si>
  <si>
    <t>erisoojus cp, kJ/(kg∙K)</t>
  </si>
  <si>
    <t>°C</t>
  </si>
  <si>
    <t>küttevee kogus</t>
  </si>
  <si>
    <t>Eelsoojendus suitsugaaside soojusest</t>
  </si>
  <si>
    <t>t/h</t>
  </si>
  <si>
    <r>
      <t>m</t>
    </r>
    <r>
      <rPr>
        <vertAlign val="superscript"/>
        <sz val="11"/>
        <color theme="1"/>
        <rFont val="Calibri Light"/>
        <family val="2"/>
        <charset val="186"/>
        <scheme val="major"/>
      </rPr>
      <t>3</t>
    </r>
    <r>
      <rPr>
        <sz val="11"/>
        <color theme="1"/>
        <rFont val="Calibri Light"/>
        <family val="2"/>
        <charset val="186"/>
        <scheme val="major"/>
      </rPr>
      <t>/h</t>
    </r>
  </si>
  <si>
    <t>Vesi</t>
  </si>
  <si>
    <r>
      <t>tihedus ρ, kg/m</t>
    </r>
    <r>
      <rPr>
        <vertAlign val="superscript"/>
        <sz val="11"/>
        <color theme="1"/>
        <rFont val="Calibri Light"/>
        <family val="2"/>
        <charset val="186"/>
        <scheme val="major"/>
      </rPr>
      <t>3</t>
    </r>
  </si>
  <si>
    <t>Kondensatsioonisoojus r, kJ/kg</t>
  </si>
  <si>
    <r>
      <t>m</t>
    </r>
    <r>
      <rPr>
        <vertAlign val="superscript"/>
        <sz val="11"/>
        <color theme="1"/>
        <rFont val="Calibri Light"/>
        <family val="2"/>
        <charset val="186"/>
        <scheme val="major"/>
      </rPr>
      <t>3</t>
    </r>
    <r>
      <rPr>
        <sz val="11"/>
        <color theme="1"/>
        <rFont val="Calibri Light"/>
        <family val="2"/>
        <charset val="186"/>
        <scheme val="major"/>
      </rPr>
      <t>/s</t>
    </r>
  </si>
  <si>
    <r>
      <t xml:space="preserve">Temperatuur t, </t>
    </r>
    <r>
      <rPr>
        <sz val="11"/>
        <color theme="1"/>
        <rFont val="Calibri Light"/>
        <family val="2"/>
        <charset val="186"/>
      </rPr>
      <t>°C</t>
    </r>
  </si>
  <si>
    <t>Gaasid</t>
  </si>
  <si>
    <r>
      <t>Gaasi molaarruumala V</t>
    </r>
    <r>
      <rPr>
        <vertAlign val="subscript"/>
        <sz val="11"/>
        <color theme="1"/>
        <rFont val="Calibri Light"/>
        <family val="2"/>
        <charset val="186"/>
        <scheme val="major"/>
      </rPr>
      <t xml:space="preserve">m, </t>
    </r>
    <r>
      <rPr>
        <sz val="11"/>
        <color theme="1"/>
        <rFont val="Calibri Light"/>
        <family val="2"/>
        <charset val="186"/>
        <scheme val="major"/>
      </rPr>
      <t>m</t>
    </r>
    <r>
      <rPr>
        <vertAlign val="superscript"/>
        <sz val="11"/>
        <color theme="1"/>
        <rFont val="Calibri Light"/>
        <family val="2"/>
        <charset val="186"/>
        <scheme val="major"/>
      </rPr>
      <t>3</t>
    </r>
    <r>
      <rPr>
        <sz val="11"/>
        <color theme="1"/>
        <rFont val="Calibri Light"/>
        <family val="2"/>
        <charset val="186"/>
        <scheme val="major"/>
      </rPr>
      <t>/mol</t>
    </r>
  </si>
  <si>
    <r>
      <t>Kineetiline viskoossus ν, m</t>
    </r>
    <r>
      <rPr>
        <vertAlign val="superscript"/>
        <sz val="11"/>
        <color theme="1"/>
        <rFont val="Calibri Light"/>
        <family val="2"/>
        <charset val="186"/>
        <scheme val="major"/>
      </rPr>
      <t>2</t>
    </r>
    <r>
      <rPr>
        <sz val="11"/>
        <color theme="1"/>
        <rFont val="Calibri Light"/>
        <family val="2"/>
        <charset val="186"/>
        <scheme val="major"/>
      </rPr>
      <t>/s</t>
    </r>
  </si>
  <si>
    <t>niiskusevahemik</t>
  </si>
  <si>
    <t>vähim</t>
  </si>
  <si>
    <t>suurim</t>
  </si>
  <si>
    <t>kastepunkti temperatuur</t>
  </si>
  <si>
    <t>materjalid</t>
  </si>
  <si>
    <r>
      <t>soojusjuhtivustegurid, W/(m</t>
    </r>
    <r>
      <rPr>
        <sz val="11"/>
        <color theme="1"/>
        <rFont val="Calibri Light"/>
        <family val="2"/>
        <charset val="186"/>
      </rPr>
      <t>·K)</t>
    </r>
  </si>
  <si>
    <t>duralumin</t>
  </si>
  <si>
    <t>silumin</t>
  </si>
  <si>
    <t>kroom</t>
  </si>
  <si>
    <t>vask</t>
  </si>
  <si>
    <t>pronks (95 Cu, 5 Al)</t>
  </si>
  <si>
    <t>pronks (75 Cu, 25 Sn)</t>
  </si>
  <si>
    <t>kollane pronks (70 Cu, 30 Zn)</t>
  </si>
  <si>
    <t>vasknikkel</t>
  </si>
  <si>
    <t>raud</t>
  </si>
  <si>
    <t>nikkel</t>
  </si>
  <si>
    <t>punane pronks</t>
  </si>
  <si>
    <t>teras (1% C)</t>
  </si>
  <si>
    <t>teras (0,5% C)</t>
  </si>
  <si>
    <t>teras (1,5% C)</t>
  </si>
  <si>
    <t>teras, roostevaba</t>
  </si>
  <si>
    <t>tsink</t>
  </si>
  <si>
    <t>Dünaamiline viskoossus μ, Pa∙s</t>
  </si>
  <si>
    <r>
      <t xml:space="preserve">liigõhutegur </t>
    </r>
    <r>
      <rPr>
        <sz val="11"/>
        <color theme="1"/>
        <rFont val="Calibri Light"/>
        <family val="2"/>
        <charset val="186"/>
      </rPr>
      <t>α</t>
    </r>
  </si>
  <si>
    <t>Tagasivoolu temperatuur, °C</t>
  </si>
  <si>
    <t>40 MW</t>
  </si>
  <si>
    <t>heat recovery</t>
  </si>
  <si>
    <t>return temperature</t>
  </si>
  <si>
    <t>W = 40%</t>
  </si>
  <si>
    <t>W = 30%</t>
  </si>
  <si>
    <t>O2</t>
  </si>
  <si>
    <t>CO2</t>
  </si>
  <si>
    <t>N2</t>
  </si>
  <si>
    <t>SUM</t>
  </si>
  <si>
    <t>katlasse mineku kuupäev</t>
  </si>
  <si>
    <t>Niiskus %</t>
  </si>
  <si>
    <t>kuupäev</t>
  </si>
  <si>
    <t>jaama võimsus, MW</t>
  </si>
  <si>
    <t>SGK võimsus, MW</t>
  </si>
  <si>
    <r>
      <t>vee kulu SGK, m</t>
    </r>
    <r>
      <rPr>
        <vertAlign val="superscript"/>
        <sz val="11"/>
        <color theme="1"/>
        <rFont val="Calibri Light"/>
        <family val="2"/>
        <charset val="186"/>
        <scheme val="major"/>
      </rPr>
      <t>3</t>
    </r>
    <r>
      <rPr>
        <sz val="11"/>
        <color theme="1"/>
        <rFont val="Calibri Light"/>
        <family val="2"/>
        <charset val="186"/>
        <scheme val="major"/>
      </rPr>
      <t>/h</t>
    </r>
  </si>
  <si>
    <t>abs erinevus</t>
  </si>
  <si>
    <t>suhteline erinevus</t>
  </si>
  <si>
    <t>vee kulu SGK, kg/s</t>
  </si>
  <si>
    <t>max - min</t>
  </si>
  <si>
    <t>average</t>
  </si>
  <si>
    <t>median</t>
  </si>
  <si>
    <t>share</t>
  </si>
  <si>
    <t>W = 45%</t>
  </si>
  <si>
    <t>nädalapäev</t>
  </si>
  <si>
    <t>e või p</t>
  </si>
  <si>
    <t>kokku andmeread</t>
  </si>
  <si>
    <t>ilma e ja p</t>
  </si>
  <si>
    <t>niiskus</t>
  </si>
  <si>
    <t>tuhk</t>
  </si>
  <si>
    <t>ν</t>
  </si>
  <si>
    <t>t'' - treturn</t>
  </si>
  <si>
    <t>Ar</t>
  </si>
  <si>
    <t>n</t>
  </si>
  <si>
    <r>
      <rPr>
        <sz val="11"/>
        <color theme="1"/>
        <rFont val="Calibri Light"/>
        <family val="2"/>
        <charset val="186"/>
      </rPr>
      <t>ε</t>
    </r>
    <r>
      <rPr>
        <vertAlign val="subscript"/>
        <sz val="11"/>
        <color theme="1"/>
        <rFont val="Calibri Light"/>
        <family val="2"/>
        <charset val="186"/>
      </rPr>
      <t>koridoorne</t>
    </r>
  </si>
  <si>
    <r>
      <t>ε</t>
    </r>
    <r>
      <rPr>
        <vertAlign val="subscript"/>
        <sz val="8.8000000000000007"/>
        <color theme="1"/>
        <rFont val="Calibri Light"/>
        <family val="2"/>
        <charset val="186"/>
      </rPr>
      <t>malekorras</t>
    </r>
  </si>
  <si>
    <r>
      <t xml:space="preserve">kütuse niiskusesisaldus </t>
    </r>
    <r>
      <rPr>
        <i/>
        <sz val="11"/>
        <color theme="1"/>
        <rFont val="Calibri Light"/>
        <family val="2"/>
        <charset val="186"/>
        <scheme val="major"/>
      </rPr>
      <t>m</t>
    </r>
    <r>
      <rPr>
        <i/>
        <vertAlign val="subscript"/>
        <sz val="11"/>
        <color theme="1"/>
        <rFont val="Calibri Light"/>
        <family val="2"/>
        <charset val="186"/>
        <scheme val="major"/>
      </rPr>
      <t>H2O, kütus</t>
    </r>
  </si>
  <si>
    <r>
      <t xml:space="preserve">kuivaine alumine kütteväärtus </t>
    </r>
    <r>
      <rPr>
        <i/>
        <sz val="11"/>
        <color theme="1"/>
        <rFont val="Calibri Light"/>
        <family val="2"/>
        <charset val="186"/>
        <scheme val="major"/>
      </rPr>
      <t>Q</t>
    </r>
    <r>
      <rPr>
        <i/>
        <vertAlign val="subscript"/>
        <sz val="11"/>
        <color theme="1"/>
        <rFont val="Calibri Light"/>
        <family val="2"/>
        <charset val="186"/>
        <scheme val="major"/>
      </rPr>
      <t>NCV, kuiv</t>
    </r>
  </si>
  <si>
    <r>
      <t xml:space="preserve">tarbimisaine alumine kütteväärtus </t>
    </r>
    <r>
      <rPr>
        <i/>
        <sz val="11"/>
        <color theme="1"/>
        <rFont val="Calibri Light"/>
        <family val="2"/>
        <charset val="186"/>
        <scheme val="major"/>
      </rPr>
      <t>Q</t>
    </r>
    <r>
      <rPr>
        <i/>
        <vertAlign val="subscript"/>
        <sz val="11"/>
        <color theme="1"/>
        <rFont val="Calibri Light"/>
        <family val="2"/>
        <charset val="186"/>
        <scheme val="major"/>
      </rPr>
      <t>NCV</t>
    </r>
  </si>
  <si>
    <r>
      <t xml:space="preserve">Veeauru kogus kondensaatorisse sisenevates suitsugaasides </t>
    </r>
    <r>
      <rPr>
        <i/>
        <sz val="11"/>
        <color theme="1"/>
        <rFont val="Calibri Light"/>
        <family val="2"/>
        <charset val="186"/>
        <scheme val="major"/>
      </rPr>
      <t>m'</t>
    </r>
    <r>
      <rPr>
        <i/>
        <vertAlign val="subscript"/>
        <sz val="11"/>
        <color theme="1"/>
        <rFont val="Calibri Light"/>
        <family val="2"/>
        <charset val="186"/>
        <scheme val="major"/>
      </rPr>
      <t>H2O</t>
    </r>
  </si>
  <si>
    <r>
      <t xml:space="preserve">kuivade suitsugaaside kogus </t>
    </r>
    <r>
      <rPr>
        <i/>
        <sz val="11"/>
        <color theme="1"/>
        <rFont val="Calibri Light"/>
        <family val="2"/>
        <charset val="186"/>
        <scheme val="major"/>
      </rPr>
      <t>m</t>
    </r>
    <r>
      <rPr>
        <i/>
        <vertAlign val="subscript"/>
        <sz val="11"/>
        <color theme="1"/>
        <rFont val="Calibri Light"/>
        <family val="2"/>
        <charset val="186"/>
        <scheme val="major"/>
      </rPr>
      <t>sg, kuiv</t>
    </r>
  </si>
  <si>
    <r>
      <t xml:space="preserve">kuivade suitsugaaside mahtkulu </t>
    </r>
    <r>
      <rPr>
        <i/>
        <sz val="11"/>
        <color theme="1"/>
        <rFont val="Calibri Light"/>
        <family val="2"/>
        <charset val="186"/>
        <scheme val="major"/>
      </rPr>
      <t>V</t>
    </r>
    <r>
      <rPr>
        <i/>
        <vertAlign val="subscript"/>
        <sz val="11"/>
        <color theme="1"/>
        <rFont val="Calibri Light"/>
        <family val="2"/>
        <charset val="186"/>
        <scheme val="major"/>
      </rPr>
      <t>sg, kuiv</t>
    </r>
  </si>
  <si>
    <r>
      <t xml:space="preserve">Suitsugaasid kokku </t>
    </r>
    <r>
      <rPr>
        <i/>
        <sz val="11"/>
        <color theme="1"/>
        <rFont val="Calibri Light"/>
        <family val="2"/>
        <charset val="186"/>
        <scheme val="major"/>
      </rPr>
      <t>m</t>
    </r>
    <r>
      <rPr>
        <i/>
        <vertAlign val="subscript"/>
        <sz val="11"/>
        <color theme="1"/>
        <rFont val="Calibri Light"/>
        <family val="2"/>
        <charset val="186"/>
        <scheme val="major"/>
      </rPr>
      <t>sg</t>
    </r>
  </si>
  <si>
    <r>
      <t xml:space="preserve">Suitsugaasid kokku </t>
    </r>
    <r>
      <rPr>
        <i/>
        <sz val="11"/>
        <color theme="1"/>
        <rFont val="Calibri Light"/>
        <family val="2"/>
        <charset val="186"/>
        <scheme val="major"/>
      </rPr>
      <t>V</t>
    </r>
    <r>
      <rPr>
        <i/>
        <vertAlign val="subscript"/>
        <sz val="11"/>
        <color theme="1"/>
        <rFont val="Calibri Light"/>
        <family val="2"/>
        <charset val="186"/>
        <scheme val="major"/>
      </rPr>
      <t>sg</t>
    </r>
  </si>
  <si>
    <r>
      <t xml:space="preserve">suitsugaaside niiskusesisaldus </t>
    </r>
    <r>
      <rPr>
        <i/>
        <sz val="11"/>
        <color theme="1"/>
        <rFont val="Calibri Light"/>
        <family val="2"/>
        <charset val="186"/>
        <scheme val="major"/>
      </rPr>
      <t>x'</t>
    </r>
  </si>
  <si>
    <t>Kasutatav kütus</t>
  </si>
  <si>
    <t>Põlemisõhu koostis</t>
  </si>
  <si>
    <r>
      <t>Hapnik O</t>
    </r>
    <r>
      <rPr>
        <vertAlign val="subscript"/>
        <sz val="11"/>
        <color theme="1"/>
        <rFont val="Calibri Light"/>
        <family val="2"/>
        <charset val="186"/>
        <scheme val="major"/>
      </rPr>
      <t>2</t>
    </r>
  </si>
  <si>
    <r>
      <t>Lämmastik N</t>
    </r>
    <r>
      <rPr>
        <vertAlign val="subscript"/>
        <sz val="11"/>
        <color theme="1"/>
        <rFont val="Calibri Light"/>
        <family val="2"/>
        <charset val="186"/>
        <scheme val="major"/>
      </rPr>
      <t>2</t>
    </r>
  </si>
  <si>
    <t>Argoon Ar</t>
  </si>
  <si>
    <r>
      <t>Süsihappegaas CO</t>
    </r>
    <r>
      <rPr>
        <vertAlign val="subscript"/>
        <sz val="11"/>
        <color theme="1"/>
        <rFont val="Calibri Light"/>
        <family val="2"/>
        <charset val="186"/>
        <scheme val="major"/>
      </rPr>
      <t>2</t>
    </r>
  </si>
  <si>
    <r>
      <t>Veeaur H</t>
    </r>
    <r>
      <rPr>
        <vertAlign val="subscript"/>
        <sz val="11"/>
        <color theme="1"/>
        <rFont val="Calibri Light"/>
        <family val="2"/>
        <charset val="186"/>
        <scheme val="major"/>
      </rPr>
      <t>2</t>
    </r>
    <r>
      <rPr>
        <sz val="11"/>
        <color theme="1"/>
        <rFont val="Calibri Light"/>
        <family val="2"/>
        <charset val="186"/>
        <scheme val="major"/>
      </rPr>
      <t>O (t = 20</t>
    </r>
    <r>
      <rPr>
        <sz val="11"/>
        <color theme="1"/>
        <rFont val="Calibri Light"/>
        <family val="2"/>
        <charset val="186"/>
      </rPr>
      <t>°C, RH = 50%)</t>
    </r>
  </si>
  <si>
    <t>Kütuse põlevainest tekkivad gaasid</t>
  </si>
  <si>
    <t>Väävli kogus on kaduvväike ning see väljub suitsugaaside kondensaatorist koos lägaga.</t>
  </si>
  <si>
    <t>Katla temperatuur on piisavalt madal, et lämmastik ei oksüdeeruks.</t>
  </si>
  <si>
    <t>Vajalik põlemisõhu kogus</t>
  </si>
  <si>
    <r>
      <t xml:space="preserve">Kütuses olemasolev hapnik </t>
    </r>
    <r>
      <rPr>
        <i/>
        <sz val="11"/>
        <color theme="1"/>
        <rFont val="Calibri Light"/>
        <family val="2"/>
        <charset val="186"/>
        <scheme val="major"/>
      </rPr>
      <t>n</t>
    </r>
    <r>
      <rPr>
        <i/>
        <vertAlign val="subscript"/>
        <sz val="11"/>
        <color theme="1"/>
        <rFont val="Calibri Light"/>
        <family val="2"/>
        <charset val="186"/>
        <scheme val="major"/>
      </rPr>
      <t>O2</t>
    </r>
  </si>
  <si>
    <r>
      <t xml:space="preserve">Põlemiseks vajalik hapnik </t>
    </r>
    <r>
      <rPr>
        <i/>
        <sz val="11"/>
        <color theme="1"/>
        <rFont val="Calibri Light"/>
        <family val="2"/>
        <charset val="186"/>
        <scheme val="major"/>
      </rPr>
      <t>n</t>
    </r>
    <r>
      <rPr>
        <i/>
        <vertAlign val="subscript"/>
        <sz val="11"/>
        <color theme="1"/>
        <rFont val="Calibri Light"/>
        <family val="2"/>
        <charset val="186"/>
        <scheme val="major"/>
      </rPr>
      <t>O2,0</t>
    </r>
  </si>
  <si>
    <r>
      <t>Põlemiseks vajalik hapnik</t>
    </r>
    <r>
      <rPr>
        <i/>
        <sz val="11"/>
        <color theme="1"/>
        <rFont val="Calibri Light"/>
        <family val="2"/>
        <charset val="186"/>
        <scheme val="major"/>
      </rPr>
      <t xml:space="preserve"> m</t>
    </r>
    <r>
      <rPr>
        <i/>
        <vertAlign val="subscript"/>
        <sz val="11"/>
        <color theme="1"/>
        <rFont val="Calibri Light"/>
        <family val="2"/>
        <charset val="186"/>
        <scheme val="major"/>
      </rPr>
      <t>O2,0</t>
    </r>
  </si>
  <si>
    <t>mol/kg</t>
  </si>
  <si>
    <r>
      <t xml:space="preserve">Katlasse antav hapnik </t>
    </r>
    <r>
      <rPr>
        <i/>
        <sz val="11"/>
        <color theme="1"/>
        <rFont val="Calibri Light"/>
        <family val="2"/>
        <charset val="186"/>
        <scheme val="major"/>
      </rPr>
      <t>m</t>
    </r>
    <r>
      <rPr>
        <i/>
        <vertAlign val="subscript"/>
        <sz val="11"/>
        <color theme="1"/>
        <rFont val="Calibri Light"/>
        <family val="2"/>
        <charset val="186"/>
        <scheme val="major"/>
      </rPr>
      <t>O2,pg</t>
    </r>
  </si>
  <si>
    <r>
      <t xml:space="preserve">Lämmastik põlemisõhus </t>
    </r>
    <r>
      <rPr>
        <i/>
        <sz val="11"/>
        <color theme="1"/>
        <rFont val="Calibri Light"/>
        <family val="2"/>
        <charset val="186"/>
        <scheme val="major"/>
      </rPr>
      <t>m</t>
    </r>
    <r>
      <rPr>
        <i/>
        <vertAlign val="subscript"/>
        <sz val="11"/>
        <color theme="1"/>
        <rFont val="Calibri Light"/>
        <family val="2"/>
        <charset val="186"/>
        <scheme val="major"/>
      </rPr>
      <t>N2,pg</t>
    </r>
  </si>
  <si>
    <r>
      <t xml:space="preserve">Argoon põlemisõhus </t>
    </r>
    <r>
      <rPr>
        <i/>
        <sz val="11"/>
        <color theme="1"/>
        <rFont val="Calibri Light"/>
        <family val="2"/>
        <charset val="186"/>
        <scheme val="major"/>
      </rPr>
      <t>m</t>
    </r>
    <r>
      <rPr>
        <i/>
        <vertAlign val="subscript"/>
        <sz val="11"/>
        <color theme="1"/>
        <rFont val="Calibri Light"/>
        <family val="2"/>
        <charset val="186"/>
        <scheme val="major"/>
      </rPr>
      <t>Ar,pg</t>
    </r>
  </si>
  <si>
    <r>
      <t xml:space="preserve">Süsihappegaas põlemisõhus </t>
    </r>
    <r>
      <rPr>
        <i/>
        <sz val="11"/>
        <color theme="1"/>
        <rFont val="Calibri Light"/>
        <family val="2"/>
        <charset val="186"/>
        <scheme val="major"/>
      </rPr>
      <t>m</t>
    </r>
    <r>
      <rPr>
        <i/>
        <vertAlign val="subscript"/>
        <sz val="11"/>
        <color theme="1"/>
        <rFont val="Calibri Light"/>
        <family val="2"/>
        <charset val="186"/>
        <scheme val="major"/>
      </rPr>
      <t>CO2,pg</t>
    </r>
  </si>
  <si>
    <r>
      <t xml:space="preserve">veeaur põlemisõhus </t>
    </r>
    <r>
      <rPr>
        <i/>
        <sz val="11"/>
        <color theme="1"/>
        <rFont val="Calibri Light"/>
        <family val="2"/>
        <charset val="186"/>
        <scheme val="major"/>
      </rPr>
      <t>m</t>
    </r>
    <r>
      <rPr>
        <i/>
        <vertAlign val="subscript"/>
        <sz val="11"/>
        <color theme="1"/>
        <rFont val="Calibri Light"/>
        <family val="2"/>
        <charset val="186"/>
        <scheme val="major"/>
      </rPr>
      <t>H2O,pg</t>
    </r>
  </si>
  <si>
    <t>Kondensaatorisse sisenevad suitsugaasid</t>
  </si>
  <si>
    <r>
      <t xml:space="preserve">Kuivad suitsugaasid </t>
    </r>
    <r>
      <rPr>
        <i/>
        <sz val="11"/>
        <color theme="1"/>
        <rFont val="Calibri Light"/>
        <family val="2"/>
        <charset val="186"/>
        <scheme val="major"/>
      </rPr>
      <t>m</t>
    </r>
    <r>
      <rPr>
        <i/>
        <vertAlign val="subscript"/>
        <sz val="11"/>
        <color theme="1"/>
        <rFont val="Calibri Light"/>
        <family val="2"/>
        <charset val="186"/>
        <scheme val="major"/>
      </rPr>
      <t>sg,kuiv</t>
    </r>
  </si>
  <si>
    <r>
      <rPr>
        <sz val="11"/>
        <color theme="1"/>
        <rFont val="Calibri Light"/>
        <family val="2"/>
        <charset val="186"/>
        <scheme val="major"/>
      </rPr>
      <t>Põlemisest tekkiv süsihappegaas</t>
    </r>
    <r>
      <rPr>
        <i/>
        <sz val="11"/>
        <color theme="1"/>
        <rFont val="Calibri Light"/>
        <family val="2"/>
        <charset val="186"/>
        <scheme val="major"/>
      </rPr>
      <t xml:space="preserve"> m</t>
    </r>
    <r>
      <rPr>
        <i/>
        <vertAlign val="subscript"/>
        <sz val="11"/>
        <color theme="1"/>
        <rFont val="Calibri Light"/>
        <family val="2"/>
        <charset val="186"/>
        <scheme val="major"/>
      </rPr>
      <t>CO2</t>
    </r>
  </si>
  <si>
    <r>
      <t xml:space="preserve">Kütuses olemasolev lämmastik </t>
    </r>
    <r>
      <rPr>
        <i/>
        <sz val="11"/>
        <color theme="1"/>
        <rFont val="Calibri Light"/>
        <family val="2"/>
        <charset val="186"/>
        <scheme val="major"/>
      </rPr>
      <t>m</t>
    </r>
    <r>
      <rPr>
        <i/>
        <vertAlign val="subscript"/>
        <sz val="11"/>
        <color theme="1"/>
        <rFont val="Calibri Light"/>
        <family val="2"/>
        <charset val="186"/>
        <scheme val="major"/>
      </rPr>
      <t>N2</t>
    </r>
  </si>
  <si>
    <r>
      <t xml:space="preserve">Katlast väljuv liighapnik </t>
    </r>
    <r>
      <rPr>
        <i/>
        <sz val="11"/>
        <color theme="1"/>
        <rFont val="Calibri Light"/>
        <family val="2"/>
        <charset val="186"/>
        <scheme val="major"/>
      </rPr>
      <t>m</t>
    </r>
    <r>
      <rPr>
        <i/>
        <vertAlign val="subscript"/>
        <sz val="11"/>
        <color theme="1"/>
        <rFont val="Calibri Light"/>
        <family val="2"/>
        <charset val="186"/>
        <scheme val="major"/>
      </rPr>
      <t>O2,sg</t>
    </r>
  </si>
  <si>
    <r>
      <t xml:space="preserve">Inertne põlemisõhk </t>
    </r>
    <r>
      <rPr>
        <i/>
        <sz val="11"/>
        <color theme="1"/>
        <rFont val="Calibri Light"/>
        <family val="2"/>
        <charset val="186"/>
        <scheme val="major"/>
      </rPr>
      <t>m</t>
    </r>
    <r>
      <rPr>
        <i/>
        <vertAlign val="subscript"/>
        <sz val="11"/>
        <color theme="1"/>
        <rFont val="Calibri Light"/>
        <family val="2"/>
        <charset val="186"/>
        <scheme val="major"/>
      </rPr>
      <t>N2,pg</t>
    </r>
    <r>
      <rPr>
        <i/>
        <sz val="11"/>
        <color theme="1"/>
        <rFont val="Calibri Light"/>
        <family val="2"/>
        <charset val="186"/>
        <scheme val="major"/>
      </rPr>
      <t>, m</t>
    </r>
    <r>
      <rPr>
        <i/>
        <vertAlign val="subscript"/>
        <sz val="11"/>
        <color theme="1"/>
        <rFont val="Calibri Light"/>
        <family val="2"/>
        <charset val="186"/>
        <scheme val="major"/>
      </rPr>
      <t>Ar,pg</t>
    </r>
    <r>
      <rPr>
        <i/>
        <sz val="11"/>
        <color theme="1"/>
        <rFont val="Calibri Light"/>
        <family val="2"/>
        <charset val="186"/>
        <scheme val="major"/>
      </rPr>
      <t>, m</t>
    </r>
    <r>
      <rPr>
        <i/>
        <vertAlign val="subscript"/>
        <sz val="11"/>
        <color theme="1"/>
        <rFont val="Calibri Light"/>
        <family val="2"/>
        <charset val="186"/>
        <scheme val="major"/>
      </rPr>
      <t>CO2,pg</t>
    </r>
  </si>
  <si>
    <r>
      <t xml:space="preserve">Veeaur </t>
    </r>
    <r>
      <rPr>
        <i/>
        <sz val="11"/>
        <color theme="1"/>
        <rFont val="Calibri Light"/>
        <family val="2"/>
        <charset val="186"/>
        <scheme val="major"/>
      </rPr>
      <t>m'</t>
    </r>
    <r>
      <rPr>
        <i/>
        <vertAlign val="subscript"/>
        <sz val="11"/>
        <color theme="1"/>
        <rFont val="Calibri Light"/>
        <family val="2"/>
        <charset val="186"/>
        <scheme val="major"/>
      </rPr>
      <t>sg, H2O</t>
    </r>
  </si>
  <si>
    <r>
      <t xml:space="preserve">Põlemisest tekkiv veeaur </t>
    </r>
    <r>
      <rPr>
        <i/>
        <sz val="11"/>
        <color theme="1"/>
        <rFont val="Calibri Light"/>
        <family val="2"/>
        <charset val="186"/>
        <scheme val="major"/>
      </rPr>
      <t>m</t>
    </r>
    <r>
      <rPr>
        <i/>
        <vertAlign val="subscript"/>
        <sz val="11"/>
        <color theme="1"/>
        <rFont val="Calibri Light"/>
        <family val="2"/>
        <charset val="186"/>
        <scheme val="major"/>
      </rPr>
      <t>H2O</t>
    </r>
  </si>
  <si>
    <r>
      <t xml:space="preserve">kütuse välimine niiskus </t>
    </r>
    <r>
      <rPr>
        <i/>
        <sz val="11"/>
        <color theme="1"/>
        <rFont val="Calibri Light"/>
        <family val="2"/>
        <charset val="186"/>
        <scheme val="major"/>
      </rPr>
      <t>m</t>
    </r>
    <r>
      <rPr>
        <i/>
        <vertAlign val="subscript"/>
        <sz val="11"/>
        <color theme="1"/>
        <rFont val="Calibri Light"/>
        <family val="2"/>
        <charset val="186"/>
        <scheme val="major"/>
      </rPr>
      <t>H2O,kütus</t>
    </r>
  </si>
  <si>
    <r>
      <t>põlemisõhu niiskus m</t>
    </r>
    <r>
      <rPr>
        <vertAlign val="subscript"/>
        <sz val="11"/>
        <color theme="1"/>
        <rFont val="Calibri Light"/>
        <family val="2"/>
        <charset val="186"/>
        <scheme val="major"/>
      </rPr>
      <t>H2O,pg</t>
    </r>
  </si>
  <si>
    <r>
      <t>m</t>
    </r>
    <r>
      <rPr>
        <vertAlign val="superscript"/>
        <sz val="11"/>
        <color theme="1"/>
        <rFont val="Calibri Light"/>
        <family val="2"/>
        <charset val="186"/>
        <scheme val="major"/>
      </rPr>
      <t>3</t>
    </r>
    <r>
      <rPr>
        <sz val="11"/>
        <color theme="1"/>
        <rFont val="Calibri Light"/>
        <family val="2"/>
        <charset val="186"/>
        <scheme val="major"/>
      </rPr>
      <t>/kg</t>
    </r>
  </si>
  <si>
    <r>
      <t>Katlast väljuv liighapnik</t>
    </r>
    <r>
      <rPr>
        <i/>
        <sz val="11"/>
        <color theme="1"/>
        <rFont val="Calibri Light"/>
        <family val="2"/>
        <charset val="186"/>
        <scheme val="major"/>
      </rPr>
      <t xml:space="preserve"> V</t>
    </r>
    <r>
      <rPr>
        <i/>
        <vertAlign val="subscript"/>
        <sz val="11"/>
        <color theme="1"/>
        <rFont val="Calibri Light"/>
        <family val="2"/>
        <charset val="186"/>
        <scheme val="major"/>
      </rPr>
      <t>O2,sg</t>
    </r>
  </si>
  <si>
    <r>
      <t xml:space="preserve">Kütuses olemasolev lämmastik </t>
    </r>
    <r>
      <rPr>
        <i/>
        <sz val="11"/>
        <color theme="1"/>
        <rFont val="Calibri Light"/>
        <family val="2"/>
        <charset val="186"/>
        <scheme val="major"/>
      </rPr>
      <t>V</t>
    </r>
    <r>
      <rPr>
        <i/>
        <vertAlign val="subscript"/>
        <sz val="11"/>
        <color theme="1"/>
        <rFont val="Calibri Light"/>
        <family val="2"/>
        <charset val="186"/>
        <scheme val="major"/>
      </rPr>
      <t>N2</t>
    </r>
  </si>
  <si>
    <r>
      <t xml:space="preserve">Lämmastik põlemisõhus </t>
    </r>
    <r>
      <rPr>
        <i/>
        <sz val="11"/>
        <color theme="1"/>
        <rFont val="Calibri Light"/>
        <family val="2"/>
        <charset val="186"/>
        <scheme val="major"/>
      </rPr>
      <t>V</t>
    </r>
    <r>
      <rPr>
        <i/>
        <vertAlign val="subscript"/>
        <sz val="11"/>
        <color theme="1"/>
        <rFont val="Calibri Light"/>
        <family val="2"/>
        <charset val="186"/>
        <scheme val="major"/>
      </rPr>
      <t>N2,pg</t>
    </r>
  </si>
  <si>
    <r>
      <t xml:space="preserve">Argoon põlemisõhus </t>
    </r>
    <r>
      <rPr>
        <i/>
        <sz val="11"/>
        <color theme="1"/>
        <rFont val="Calibri Light"/>
        <family val="2"/>
        <charset val="186"/>
        <scheme val="major"/>
      </rPr>
      <t>V</t>
    </r>
    <r>
      <rPr>
        <i/>
        <vertAlign val="subscript"/>
        <sz val="11"/>
        <color theme="1"/>
        <rFont val="Calibri Light"/>
        <family val="2"/>
        <charset val="186"/>
        <scheme val="major"/>
      </rPr>
      <t>Ar,pg</t>
    </r>
  </si>
  <si>
    <r>
      <t xml:space="preserve">Süsihappegaas põlemisõhus </t>
    </r>
    <r>
      <rPr>
        <i/>
        <sz val="11"/>
        <color theme="1"/>
        <rFont val="Calibri Light"/>
        <family val="2"/>
        <charset val="186"/>
        <scheme val="major"/>
      </rPr>
      <t>V</t>
    </r>
    <r>
      <rPr>
        <i/>
        <vertAlign val="subscript"/>
        <sz val="11"/>
        <color theme="1"/>
        <rFont val="Calibri Light"/>
        <family val="2"/>
        <charset val="186"/>
        <scheme val="major"/>
      </rPr>
      <t>CO2,pg</t>
    </r>
  </si>
  <si>
    <r>
      <t xml:space="preserve">Inertne põlemisõhk </t>
    </r>
    <r>
      <rPr>
        <i/>
        <sz val="11"/>
        <color theme="1"/>
        <rFont val="Calibri Light"/>
        <family val="2"/>
        <charset val="186"/>
        <scheme val="major"/>
      </rPr>
      <t>V</t>
    </r>
    <r>
      <rPr>
        <i/>
        <vertAlign val="subscript"/>
        <sz val="11"/>
        <color theme="1"/>
        <rFont val="Calibri Light"/>
        <family val="2"/>
        <charset val="186"/>
        <scheme val="major"/>
      </rPr>
      <t>N2,pg</t>
    </r>
    <r>
      <rPr>
        <i/>
        <sz val="11"/>
        <color theme="1"/>
        <rFont val="Calibri Light"/>
        <family val="2"/>
        <charset val="186"/>
        <scheme val="major"/>
      </rPr>
      <t>, V</t>
    </r>
    <r>
      <rPr>
        <i/>
        <vertAlign val="subscript"/>
        <sz val="11"/>
        <color theme="1"/>
        <rFont val="Calibri Light"/>
        <family val="2"/>
        <charset val="186"/>
        <scheme val="major"/>
      </rPr>
      <t>Ar,pg</t>
    </r>
    <r>
      <rPr>
        <i/>
        <sz val="11"/>
        <color theme="1"/>
        <rFont val="Calibri Light"/>
        <family val="2"/>
        <charset val="186"/>
        <scheme val="major"/>
      </rPr>
      <t>, V</t>
    </r>
    <r>
      <rPr>
        <i/>
        <vertAlign val="subscript"/>
        <sz val="11"/>
        <color theme="1"/>
        <rFont val="Calibri Light"/>
        <family val="2"/>
        <charset val="186"/>
        <scheme val="major"/>
      </rPr>
      <t>CO2,pg</t>
    </r>
  </si>
  <si>
    <t>Kondensaatorisse sisenev gaasivoog</t>
  </si>
  <si>
    <t>Kondensaatorist väljuv gaasivoog</t>
  </si>
  <si>
    <r>
      <t xml:space="preserve">temperatuur </t>
    </r>
    <r>
      <rPr>
        <i/>
        <sz val="11"/>
        <color theme="1"/>
        <rFont val="Calibri Light"/>
        <family val="2"/>
        <charset val="186"/>
        <scheme val="major"/>
      </rPr>
      <t>t'</t>
    </r>
  </si>
  <si>
    <r>
      <t xml:space="preserve">niiskusesisaldus </t>
    </r>
    <r>
      <rPr>
        <i/>
        <sz val="11"/>
        <color theme="1"/>
        <rFont val="Calibri Light"/>
        <family val="2"/>
        <charset val="186"/>
        <scheme val="major"/>
      </rPr>
      <t>x'</t>
    </r>
  </si>
  <si>
    <r>
      <t xml:space="preserve">kondensaatorisse sisenev veeaur </t>
    </r>
    <r>
      <rPr>
        <i/>
        <sz val="11"/>
        <color theme="1"/>
        <rFont val="Calibri Light"/>
        <family val="2"/>
        <charset val="186"/>
        <scheme val="major"/>
      </rPr>
      <t>m'</t>
    </r>
    <r>
      <rPr>
        <i/>
        <vertAlign val="subscript"/>
        <sz val="11"/>
        <color theme="1"/>
        <rFont val="Calibri Light"/>
        <family val="2"/>
        <charset val="186"/>
        <scheme val="major"/>
      </rPr>
      <t>H2O</t>
    </r>
  </si>
  <si>
    <r>
      <t xml:space="preserve">kondensaatorit läbiv kuivade gaaside kogus </t>
    </r>
    <r>
      <rPr>
        <i/>
        <sz val="11"/>
        <color theme="1"/>
        <rFont val="Calibri Light"/>
        <family val="2"/>
        <charset val="186"/>
        <scheme val="major"/>
      </rPr>
      <t>m</t>
    </r>
    <r>
      <rPr>
        <i/>
        <vertAlign val="subscript"/>
        <sz val="11"/>
        <color theme="1"/>
        <rFont val="Calibri Light"/>
        <family val="2"/>
        <charset val="186"/>
        <scheme val="major"/>
      </rPr>
      <t>sg,kuiv</t>
    </r>
  </si>
  <si>
    <r>
      <t xml:space="preserve">temperatuur </t>
    </r>
    <r>
      <rPr>
        <i/>
        <sz val="11"/>
        <color theme="1"/>
        <rFont val="Calibri Light"/>
        <family val="2"/>
        <charset val="186"/>
        <scheme val="major"/>
      </rPr>
      <t>t''</t>
    </r>
  </si>
  <si>
    <r>
      <t xml:space="preserve">niiskusesisaldus </t>
    </r>
    <r>
      <rPr>
        <i/>
        <sz val="11"/>
        <color theme="1"/>
        <rFont val="Calibri Light"/>
        <family val="2"/>
        <charset val="186"/>
        <scheme val="major"/>
      </rPr>
      <t>x''</t>
    </r>
  </si>
  <si>
    <r>
      <t xml:space="preserve">kondensaatorist väljuv kuivade gaaside kogus </t>
    </r>
    <r>
      <rPr>
        <i/>
        <sz val="11"/>
        <color theme="1"/>
        <rFont val="Calibri Light"/>
        <family val="2"/>
        <charset val="186"/>
        <scheme val="major"/>
      </rPr>
      <t>m</t>
    </r>
    <r>
      <rPr>
        <i/>
        <vertAlign val="subscript"/>
        <sz val="11"/>
        <color theme="1"/>
        <rFont val="Calibri Light"/>
        <family val="2"/>
        <charset val="186"/>
        <scheme val="major"/>
      </rPr>
      <t>sg</t>
    </r>
  </si>
  <si>
    <r>
      <t xml:space="preserve">kondensaatorist väljuv veeaur </t>
    </r>
    <r>
      <rPr>
        <i/>
        <sz val="11"/>
        <color theme="1"/>
        <rFont val="Calibri Light"/>
        <family val="2"/>
        <charset val="186"/>
        <scheme val="major"/>
      </rPr>
      <t>m''</t>
    </r>
    <r>
      <rPr>
        <i/>
        <vertAlign val="subscript"/>
        <sz val="11"/>
        <color theme="1"/>
        <rFont val="Calibri Light"/>
        <family val="2"/>
        <charset val="186"/>
        <scheme val="major"/>
      </rPr>
      <t>H2O</t>
    </r>
  </si>
  <si>
    <t>tarbimisaine alumine kütteväärtus</t>
  </si>
  <si>
    <t>Latentne soojus (sisenev)</t>
  </si>
  <si>
    <t>Latentne soojus (väljuv)</t>
  </si>
  <si>
    <r>
      <t xml:space="preserve">Veeauru erisoojus </t>
    </r>
    <r>
      <rPr>
        <i/>
        <sz val="11"/>
        <color theme="1"/>
        <rFont val="Calibri Light"/>
        <family val="2"/>
        <charset val="186"/>
        <scheme val="major"/>
      </rPr>
      <t>c'</t>
    </r>
    <r>
      <rPr>
        <i/>
        <vertAlign val="subscript"/>
        <sz val="11"/>
        <color theme="1"/>
        <rFont val="Calibri Light"/>
        <family val="2"/>
        <charset val="186"/>
        <scheme val="major"/>
      </rPr>
      <t>pH2O</t>
    </r>
  </si>
  <si>
    <r>
      <t xml:space="preserve">Veeauru kondenseerumissoojus </t>
    </r>
    <r>
      <rPr>
        <i/>
        <sz val="11"/>
        <color theme="1"/>
        <rFont val="Calibri Light"/>
        <family val="2"/>
        <charset val="186"/>
        <scheme val="major"/>
      </rPr>
      <t xml:space="preserve">r </t>
    </r>
  </si>
  <si>
    <r>
      <t xml:space="preserve">Veeauru kondenseerumissoojus </t>
    </r>
    <r>
      <rPr>
        <i/>
        <sz val="11"/>
        <color theme="1"/>
        <rFont val="Calibri Light"/>
        <family val="2"/>
        <charset val="186"/>
        <scheme val="major"/>
      </rPr>
      <t>r</t>
    </r>
    <r>
      <rPr>
        <i/>
        <vertAlign val="subscript"/>
        <sz val="11"/>
        <color theme="1"/>
        <rFont val="Calibri Light"/>
        <family val="2"/>
        <charset val="186"/>
        <scheme val="major"/>
      </rPr>
      <t>t''</t>
    </r>
  </si>
  <si>
    <r>
      <t xml:space="preserve">Veeauru erisoojus </t>
    </r>
    <r>
      <rPr>
        <i/>
        <sz val="11"/>
        <color theme="1"/>
        <rFont val="Calibri Light"/>
        <family val="2"/>
        <charset val="186"/>
        <scheme val="major"/>
      </rPr>
      <t>c''</t>
    </r>
    <r>
      <rPr>
        <i/>
        <vertAlign val="subscript"/>
        <sz val="11"/>
        <color theme="1"/>
        <rFont val="Calibri Light"/>
        <family val="2"/>
        <charset val="186"/>
        <scheme val="major"/>
      </rPr>
      <t>pH2O</t>
    </r>
  </si>
  <si>
    <r>
      <t>kJ/(kg</t>
    </r>
    <r>
      <rPr>
        <sz val="11"/>
        <color theme="1"/>
        <rFont val="Calibri Light"/>
        <family val="2"/>
        <charset val="186"/>
      </rPr>
      <t>∙K)</t>
    </r>
  </si>
  <si>
    <t>kJ/kg</t>
  </si>
  <si>
    <t>kW</t>
  </si>
  <si>
    <r>
      <t xml:space="preserve">Veeauru entalpia </t>
    </r>
    <r>
      <rPr>
        <i/>
        <sz val="11"/>
        <color theme="1"/>
        <rFont val="Calibri Light"/>
        <family val="2"/>
        <charset val="186"/>
        <scheme val="major"/>
      </rPr>
      <t>h'</t>
    </r>
  </si>
  <si>
    <r>
      <t xml:space="preserve">Veeauru entalpia </t>
    </r>
    <r>
      <rPr>
        <i/>
        <sz val="11"/>
        <color theme="1"/>
        <rFont val="Calibri Light"/>
        <family val="2"/>
        <charset val="186"/>
        <scheme val="major"/>
      </rPr>
      <t>h''</t>
    </r>
  </si>
  <si>
    <r>
      <t xml:space="preserve">Suitsugaaside kondensaatori kasutegur </t>
    </r>
    <r>
      <rPr>
        <i/>
        <sz val="11"/>
        <color theme="1"/>
        <rFont val="Calibri Light"/>
        <family val="2"/>
        <charset val="186"/>
      </rPr>
      <t>η</t>
    </r>
    <r>
      <rPr>
        <i/>
        <vertAlign val="subscript"/>
        <sz val="9.9"/>
        <color theme="1"/>
        <rFont val="Calibri Light"/>
        <family val="2"/>
        <charset val="186"/>
      </rPr>
      <t>FGC</t>
    </r>
  </si>
  <si>
    <r>
      <t xml:space="preserve">Suitsuagaaside kondensaatori efektiivsus </t>
    </r>
    <r>
      <rPr>
        <i/>
        <sz val="11"/>
        <color theme="1"/>
        <rFont val="Calibri Light"/>
        <family val="2"/>
        <charset val="186"/>
      </rPr>
      <t>ε</t>
    </r>
    <r>
      <rPr>
        <i/>
        <vertAlign val="subscript"/>
        <sz val="9.9"/>
        <color theme="1"/>
        <rFont val="Calibri Light"/>
        <family val="2"/>
        <charset val="186"/>
      </rPr>
      <t>NCV</t>
    </r>
  </si>
  <si>
    <t>Kuivade gaaside soojus (sisenev)</t>
  </si>
  <si>
    <t>Kuivade gaaside soojus (väljuv)</t>
  </si>
  <si>
    <t>Gaasikomponent</t>
  </si>
  <si>
    <t>entalpia</t>
  </si>
  <si>
    <t>kogus (kg/kg)</t>
  </si>
  <si>
    <r>
      <t>erisoojus kJ/(kg</t>
    </r>
    <r>
      <rPr>
        <sz val="11"/>
        <color theme="1"/>
        <rFont val="Calibri Light"/>
        <family val="2"/>
        <charset val="186"/>
      </rPr>
      <t>∙</t>
    </r>
    <r>
      <rPr>
        <sz val="9.9"/>
        <color theme="1"/>
        <rFont val="Calibri Light"/>
        <family val="2"/>
        <charset val="186"/>
      </rPr>
      <t>K)</t>
    </r>
  </si>
  <si>
    <r>
      <t>Liighapnik O</t>
    </r>
    <r>
      <rPr>
        <vertAlign val="subscript"/>
        <sz val="11"/>
        <color theme="1"/>
        <rFont val="Calibri Light"/>
        <family val="2"/>
        <charset val="186"/>
        <scheme val="major"/>
      </rPr>
      <t>2</t>
    </r>
  </si>
  <si>
    <t>Sisenev soojusvoog</t>
  </si>
  <si>
    <t>Väljuv soojusvoog</t>
  </si>
  <si>
    <r>
      <t>Maksimaalne soojustagastus</t>
    </r>
    <r>
      <rPr>
        <b/>
        <i/>
        <sz val="11"/>
        <color theme="1"/>
        <rFont val="Calibri Light"/>
        <family val="2"/>
        <charset val="186"/>
        <scheme val="major"/>
      </rPr>
      <t xml:space="preserve"> Q</t>
    </r>
    <r>
      <rPr>
        <b/>
        <i/>
        <vertAlign val="subscript"/>
        <sz val="11"/>
        <color theme="1"/>
        <rFont val="Calibri Light"/>
        <family val="2"/>
        <charset val="186"/>
        <scheme val="major"/>
      </rPr>
      <t>SGK,max</t>
    </r>
  </si>
  <si>
    <r>
      <t xml:space="preserve">Soojusvahetuspind </t>
    </r>
    <r>
      <rPr>
        <i/>
        <sz val="11"/>
        <color theme="1"/>
        <rFont val="Calibri Light"/>
        <family val="2"/>
        <charset val="186"/>
        <scheme val="major"/>
      </rPr>
      <t>A</t>
    </r>
  </si>
  <si>
    <r>
      <t xml:space="preserve">Toru pikkus </t>
    </r>
    <r>
      <rPr>
        <i/>
        <sz val="11"/>
        <color theme="1"/>
        <rFont val="Calibri Light"/>
        <family val="2"/>
        <charset val="186"/>
        <scheme val="major"/>
      </rPr>
      <t>L</t>
    </r>
  </si>
  <si>
    <r>
      <t xml:space="preserve">Toru välimine diameeter </t>
    </r>
    <r>
      <rPr>
        <i/>
        <sz val="11"/>
        <color theme="1"/>
        <rFont val="Calibri Light"/>
        <family val="2"/>
        <charset val="186"/>
        <scheme val="major"/>
      </rPr>
      <t>d</t>
    </r>
    <r>
      <rPr>
        <i/>
        <vertAlign val="subscript"/>
        <sz val="11"/>
        <color theme="1"/>
        <rFont val="Calibri Light"/>
        <family val="2"/>
        <charset val="186"/>
        <scheme val="major"/>
      </rPr>
      <t>1</t>
    </r>
  </si>
  <si>
    <r>
      <t xml:space="preserve">Toru sisemine diameeter </t>
    </r>
    <r>
      <rPr>
        <i/>
        <sz val="11"/>
        <color theme="1"/>
        <rFont val="Calibri Light"/>
        <family val="2"/>
        <charset val="186"/>
        <scheme val="major"/>
      </rPr>
      <t>d</t>
    </r>
    <r>
      <rPr>
        <i/>
        <vertAlign val="subscript"/>
        <sz val="11"/>
        <color theme="1"/>
        <rFont val="Calibri Light"/>
        <family val="2"/>
        <charset val="186"/>
        <scheme val="major"/>
      </rPr>
      <t>2</t>
    </r>
  </si>
  <si>
    <t>m</t>
  </si>
  <si>
    <t>mm</t>
  </si>
  <si>
    <r>
      <t>m</t>
    </r>
    <r>
      <rPr>
        <vertAlign val="superscript"/>
        <sz val="11"/>
        <color theme="1"/>
        <rFont val="Calibri Light"/>
        <family val="2"/>
        <charset val="186"/>
        <scheme val="major"/>
      </rPr>
      <t>2</t>
    </r>
  </si>
  <si>
    <t>Toru materjal</t>
  </si>
  <si>
    <t>Toru soojusjuhtivustegur</t>
  </si>
  <si>
    <r>
      <t>kW/(m</t>
    </r>
    <r>
      <rPr>
        <sz val="11"/>
        <color theme="1"/>
        <rFont val="Calibri Light"/>
        <family val="2"/>
        <charset val="186"/>
      </rPr>
      <t>∙K)</t>
    </r>
  </si>
  <si>
    <r>
      <t xml:space="preserve">Pinna termiline takistus </t>
    </r>
    <r>
      <rPr>
        <i/>
        <sz val="11"/>
        <color theme="1"/>
        <rFont val="Calibri Light"/>
        <family val="2"/>
        <charset val="186"/>
        <scheme val="major"/>
      </rPr>
      <t>R</t>
    </r>
    <r>
      <rPr>
        <i/>
        <vertAlign val="subscript"/>
        <sz val="11"/>
        <color theme="1"/>
        <rFont val="Calibri Light"/>
        <family val="2"/>
        <charset val="186"/>
        <scheme val="major"/>
      </rPr>
      <t>A</t>
    </r>
  </si>
  <si>
    <r>
      <t xml:space="preserve">Soojusülekandetegur suitsugaasilt soojusvahetuspinnale </t>
    </r>
    <r>
      <rPr>
        <i/>
        <sz val="11"/>
        <color theme="1"/>
        <rFont val="Calibri Light"/>
        <family val="2"/>
        <charset val="186"/>
      </rPr>
      <t>h</t>
    </r>
    <r>
      <rPr>
        <i/>
        <vertAlign val="subscript"/>
        <sz val="11"/>
        <color theme="1"/>
        <rFont val="Calibri Light"/>
        <family val="2"/>
        <charset val="186"/>
      </rPr>
      <t>1</t>
    </r>
  </si>
  <si>
    <r>
      <t xml:space="preserve">Logaritmiline temperatuuride vahe </t>
    </r>
    <r>
      <rPr>
        <i/>
        <sz val="11"/>
        <color theme="1"/>
        <rFont val="Calibri Light"/>
        <family val="2"/>
        <charset val="186"/>
      </rPr>
      <t>∆</t>
    </r>
    <r>
      <rPr>
        <i/>
        <sz val="9.9"/>
        <color theme="1"/>
        <rFont val="Calibri Light"/>
        <family val="2"/>
        <charset val="186"/>
      </rPr>
      <t>t</t>
    </r>
    <r>
      <rPr>
        <i/>
        <vertAlign val="subscript"/>
        <sz val="9.9"/>
        <color theme="1"/>
        <rFont val="Calibri Light"/>
        <family val="2"/>
        <charset val="186"/>
      </rPr>
      <t>log</t>
    </r>
  </si>
  <si>
    <r>
      <t>∆</t>
    </r>
    <r>
      <rPr>
        <i/>
        <sz val="9.9"/>
        <color theme="1"/>
        <rFont val="Calibri Light"/>
        <family val="2"/>
        <charset val="186"/>
      </rPr>
      <t>t</t>
    </r>
    <r>
      <rPr>
        <i/>
        <vertAlign val="subscript"/>
        <sz val="9.9"/>
        <color theme="1"/>
        <rFont val="Calibri Light"/>
        <family val="2"/>
        <charset val="186"/>
      </rPr>
      <t>kk</t>
    </r>
  </si>
  <si>
    <r>
      <t>∆</t>
    </r>
    <r>
      <rPr>
        <i/>
        <sz val="9.9"/>
        <color theme="1"/>
        <rFont val="Calibri Light"/>
        <family val="2"/>
        <charset val="186"/>
      </rPr>
      <t>t</t>
    </r>
    <r>
      <rPr>
        <i/>
        <vertAlign val="subscript"/>
        <sz val="9.9"/>
        <color theme="1"/>
        <rFont val="Calibri Light"/>
        <family val="2"/>
        <charset val="186"/>
      </rPr>
      <t>sg</t>
    </r>
  </si>
  <si>
    <t>K</t>
  </si>
  <si>
    <r>
      <t>kW/(m</t>
    </r>
    <r>
      <rPr>
        <vertAlign val="superscript"/>
        <sz val="11"/>
        <color theme="1"/>
        <rFont val="Calibri Light"/>
        <family val="2"/>
        <charset val="186"/>
        <scheme val="major"/>
      </rPr>
      <t>2</t>
    </r>
    <r>
      <rPr>
        <sz val="11"/>
        <color theme="1"/>
        <rFont val="Calibri Light"/>
        <family val="2"/>
        <charset val="186"/>
      </rPr>
      <t>∙</t>
    </r>
    <r>
      <rPr>
        <sz val="9.9"/>
        <color theme="1"/>
        <rFont val="Calibri Light"/>
        <family val="2"/>
        <charset val="186"/>
      </rPr>
      <t>K)</t>
    </r>
  </si>
  <si>
    <t>kW/(m∙K)</t>
  </si>
  <si>
    <t>Soojusjuhtivustegur k, kW/(m∙K)</t>
  </si>
  <si>
    <t>Vesi/aur</t>
  </si>
  <si>
    <t>Osakaal suitsugaasis</t>
  </si>
  <si>
    <t>suitsugaasi soojusjuhtivustegur</t>
  </si>
  <si>
    <r>
      <t xml:space="preserve">suitsugaaside soojusjuhtivustegur </t>
    </r>
    <r>
      <rPr>
        <i/>
        <sz val="11"/>
        <rFont val="Calibri Light"/>
        <family val="2"/>
        <charset val="186"/>
        <scheme val="major"/>
      </rPr>
      <t>k</t>
    </r>
    <r>
      <rPr>
        <i/>
        <vertAlign val="subscript"/>
        <sz val="11"/>
        <rFont val="Calibri Light"/>
        <family val="2"/>
        <charset val="186"/>
        <scheme val="major"/>
      </rPr>
      <t>sg</t>
    </r>
  </si>
  <si>
    <r>
      <t>Pr</t>
    </r>
    <r>
      <rPr>
        <i/>
        <vertAlign val="subscript"/>
        <sz val="11"/>
        <color theme="1"/>
        <rFont val="Calibri Light"/>
        <family val="2"/>
        <charset val="186"/>
        <scheme val="major"/>
      </rPr>
      <t>t''</t>
    </r>
  </si>
  <si>
    <r>
      <t>Pr</t>
    </r>
    <r>
      <rPr>
        <i/>
        <vertAlign val="subscript"/>
        <sz val="11"/>
        <color theme="1"/>
        <rFont val="Calibri Light"/>
        <family val="2"/>
        <charset val="186"/>
        <scheme val="major"/>
      </rPr>
      <t>t'</t>
    </r>
  </si>
  <si>
    <r>
      <t xml:space="preserve">suitsugaaside Nusselti arv </t>
    </r>
    <r>
      <rPr>
        <i/>
        <sz val="11"/>
        <rFont val="Calibri Light"/>
        <family val="2"/>
        <charset val="186"/>
        <scheme val="major"/>
      </rPr>
      <t>Nu</t>
    </r>
    <r>
      <rPr>
        <i/>
        <vertAlign val="subscript"/>
        <sz val="11"/>
        <rFont val="Calibri Light"/>
        <family val="2"/>
        <charset val="186"/>
        <scheme val="major"/>
      </rPr>
      <t>sg</t>
    </r>
  </si>
  <si>
    <r>
      <t>suitsugaaside Reynoldsi arv</t>
    </r>
    <r>
      <rPr>
        <i/>
        <sz val="11"/>
        <rFont val="Calibri Light"/>
        <family val="2"/>
        <charset val="186"/>
        <scheme val="major"/>
      </rPr>
      <t xml:space="preserve"> Re</t>
    </r>
    <r>
      <rPr>
        <i/>
        <vertAlign val="subscript"/>
        <sz val="11"/>
        <rFont val="Calibri Light"/>
        <family val="2"/>
        <charset val="186"/>
        <scheme val="major"/>
      </rPr>
      <t>sg</t>
    </r>
  </si>
  <si>
    <r>
      <t xml:space="preserve">suitsugaaside Prandtli arv </t>
    </r>
    <r>
      <rPr>
        <i/>
        <sz val="11"/>
        <rFont val="Calibri Light"/>
        <family val="2"/>
        <charset val="186"/>
        <scheme val="major"/>
      </rPr>
      <t>Pr</t>
    </r>
    <r>
      <rPr>
        <i/>
        <vertAlign val="subscript"/>
        <sz val="11"/>
        <rFont val="Calibri Light"/>
        <family val="2"/>
        <charset val="186"/>
        <scheme val="major"/>
      </rPr>
      <t>sg</t>
    </r>
  </si>
  <si>
    <r>
      <t xml:space="preserve">torusammu parandustegur </t>
    </r>
    <r>
      <rPr>
        <i/>
        <sz val="11"/>
        <color theme="1"/>
        <rFont val="Calibri Light"/>
        <family val="2"/>
        <charset val="186"/>
      </rPr>
      <t>ε</t>
    </r>
    <r>
      <rPr>
        <i/>
        <vertAlign val="subscript"/>
        <sz val="11"/>
        <color theme="1"/>
        <rFont val="Calibri Light"/>
        <family val="2"/>
        <charset val="186"/>
      </rPr>
      <t>s</t>
    </r>
  </si>
  <si>
    <t>torude paiknemine</t>
  </si>
  <si>
    <t>Koridoorne</t>
  </si>
  <si>
    <t>Malekorras</t>
  </si>
  <si>
    <r>
      <t>n</t>
    </r>
    <r>
      <rPr>
        <vertAlign val="subscript"/>
        <sz val="11"/>
        <color theme="1"/>
        <rFont val="Calibri Light"/>
        <family val="2"/>
        <charset val="186"/>
        <scheme val="major"/>
      </rPr>
      <t>1</t>
    </r>
  </si>
  <si>
    <t>vesi/veeaur</t>
  </si>
  <si>
    <t>veeaur</t>
  </si>
  <si>
    <r>
      <t xml:space="preserve">gaaside voolusuuna parandustegur </t>
    </r>
    <r>
      <rPr>
        <i/>
        <sz val="11"/>
        <color theme="1"/>
        <rFont val="Calibri Light"/>
        <family val="2"/>
        <charset val="186"/>
      </rPr>
      <t>ε</t>
    </r>
    <r>
      <rPr>
        <i/>
        <vertAlign val="subscript"/>
        <sz val="11"/>
        <color theme="1"/>
        <rFont val="Calibri Light"/>
        <family val="2"/>
        <charset val="186"/>
      </rPr>
      <t>ψ</t>
    </r>
  </si>
  <si>
    <r>
      <t xml:space="preserve">vertikaalne torusamm </t>
    </r>
    <r>
      <rPr>
        <i/>
        <sz val="11"/>
        <color theme="1"/>
        <rFont val="Calibri Light"/>
        <family val="2"/>
        <charset val="186"/>
        <scheme val="major"/>
      </rPr>
      <t>s</t>
    </r>
    <r>
      <rPr>
        <i/>
        <vertAlign val="subscript"/>
        <sz val="11"/>
        <color theme="1"/>
        <rFont val="Calibri Light"/>
        <family val="2"/>
        <charset val="186"/>
        <scheme val="major"/>
      </rPr>
      <t>1</t>
    </r>
  </si>
  <si>
    <r>
      <t xml:space="preserve">horistontaalne torusamm </t>
    </r>
    <r>
      <rPr>
        <i/>
        <sz val="11"/>
        <color theme="1"/>
        <rFont val="Calibri Light"/>
        <family val="2"/>
        <charset val="186"/>
        <scheme val="major"/>
      </rPr>
      <t>s</t>
    </r>
    <r>
      <rPr>
        <i/>
        <vertAlign val="subscript"/>
        <sz val="11"/>
        <color theme="1"/>
        <rFont val="Calibri Light"/>
        <family val="2"/>
        <charset val="186"/>
        <scheme val="major"/>
      </rPr>
      <t>2</t>
    </r>
  </si>
  <si>
    <t>nurk gaaside voolusuuna ja toru telje vahel</t>
  </si>
  <si>
    <t>°</t>
  </si>
  <si>
    <r>
      <t xml:space="preserve">Torude arv </t>
    </r>
    <r>
      <rPr>
        <vertAlign val="subscript"/>
        <sz val="11"/>
        <color theme="1"/>
        <rFont val="Calibri Light"/>
        <family val="2"/>
        <charset val="186"/>
        <scheme val="major"/>
      </rPr>
      <t>N</t>
    </r>
  </si>
  <si>
    <r>
      <t xml:space="preserve">toruridade arv </t>
    </r>
    <r>
      <rPr>
        <i/>
        <sz val="11"/>
        <color theme="1"/>
        <rFont val="Calibri Light"/>
        <family val="2"/>
        <charset val="186"/>
        <scheme val="major"/>
      </rPr>
      <t>n</t>
    </r>
  </si>
  <si>
    <t>t'</t>
  </si>
  <si>
    <t>t''</t>
  </si>
  <si>
    <t>Suitsugaasi prandtli arv</t>
  </si>
  <si>
    <t>keskmisel temperatuuril</t>
  </si>
  <si>
    <r>
      <t>h</t>
    </r>
    <r>
      <rPr>
        <b/>
        <i/>
        <vertAlign val="subscript"/>
        <sz val="11"/>
        <rFont val="Calibri Light"/>
        <family val="2"/>
        <charset val="186"/>
        <scheme val="major"/>
      </rPr>
      <t>Nu</t>
    </r>
  </si>
  <si>
    <r>
      <t>kW/(m</t>
    </r>
    <r>
      <rPr>
        <b/>
        <vertAlign val="superscript"/>
        <sz val="11"/>
        <color theme="1"/>
        <rFont val="Calibri Light"/>
        <family val="2"/>
        <charset val="186"/>
        <scheme val="major"/>
      </rPr>
      <t>2</t>
    </r>
    <r>
      <rPr>
        <b/>
        <sz val="11"/>
        <color theme="1"/>
        <rFont val="Calibri Light"/>
        <family val="2"/>
        <charset val="186"/>
      </rPr>
      <t>∙</t>
    </r>
    <r>
      <rPr>
        <b/>
        <sz val="9.9"/>
        <color theme="1"/>
        <rFont val="Calibri Light"/>
        <family val="2"/>
        <charset val="186"/>
      </rPr>
      <t>K)</t>
    </r>
  </si>
  <si>
    <r>
      <t xml:space="preserve">Itereeritav </t>
    </r>
    <r>
      <rPr>
        <i/>
        <sz val="11"/>
        <color theme="1"/>
        <rFont val="Calibri Light"/>
        <family val="2"/>
        <charset val="186"/>
        <scheme val="major"/>
      </rPr>
      <t>h</t>
    </r>
    <r>
      <rPr>
        <i/>
        <vertAlign val="subscript"/>
        <sz val="11"/>
        <color theme="1"/>
        <rFont val="Calibri Light"/>
        <family val="2"/>
        <charset val="186"/>
        <scheme val="major"/>
      </rPr>
      <t>1</t>
    </r>
  </si>
  <si>
    <r>
      <t xml:space="preserve">Kastepunkti temperatuur </t>
    </r>
    <r>
      <rPr>
        <i/>
        <sz val="11"/>
        <color theme="1"/>
        <rFont val="Calibri Light"/>
        <family val="2"/>
        <charset val="186"/>
        <scheme val="major"/>
      </rPr>
      <t>t</t>
    </r>
    <r>
      <rPr>
        <i/>
        <vertAlign val="subscript"/>
        <sz val="11"/>
        <color theme="1"/>
        <rFont val="Calibri Light"/>
        <family val="2"/>
        <charset val="186"/>
        <scheme val="major"/>
      </rPr>
      <t>k</t>
    </r>
  </si>
  <si>
    <r>
      <rPr>
        <sz val="11"/>
        <color theme="1"/>
        <rFont val="Calibri Light"/>
        <family val="2"/>
        <charset val="186"/>
      </rPr>
      <t>°</t>
    </r>
    <r>
      <rPr>
        <sz val="9.9"/>
        <color theme="1"/>
        <rFont val="Calibri Light"/>
        <family val="2"/>
        <charset val="186"/>
      </rPr>
      <t>C</t>
    </r>
  </si>
  <si>
    <r>
      <t>t'-t</t>
    </r>
    <r>
      <rPr>
        <i/>
        <vertAlign val="subscript"/>
        <sz val="11"/>
        <color theme="1"/>
        <rFont val="Calibri Light"/>
        <family val="2"/>
        <charset val="186"/>
        <scheme val="major"/>
      </rPr>
      <t>k</t>
    </r>
  </si>
  <si>
    <r>
      <t xml:space="preserve">Veeauru kondensatsiooni soojus </t>
    </r>
    <r>
      <rPr>
        <i/>
        <sz val="11"/>
        <color theme="1"/>
        <rFont val="Calibri Light"/>
        <family val="2"/>
        <charset val="186"/>
        <scheme val="major"/>
      </rPr>
      <t>r</t>
    </r>
  </si>
  <si>
    <r>
      <t xml:space="preserve">kondensaadi juurdevool </t>
    </r>
    <r>
      <rPr>
        <i/>
        <sz val="11"/>
        <color theme="1"/>
        <rFont val="Calibri Light"/>
        <family val="2"/>
        <charset val="186"/>
        <scheme val="major"/>
      </rPr>
      <t>j</t>
    </r>
  </si>
  <si>
    <r>
      <t>kg/m</t>
    </r>
    <r>
      <rPr>
        <vertAlign val="superscript"/>
        <sz val="11"/>
        <color theme="1"/>
        <rFont val="Calibri Light"/>
        <family val="2"/>
        <charset val="186"/>
        <scheme val="major"/>
      </rPr>
      <t>2</t>
    </r>
  </si>
  <si>
    <r>
      <t>h</t>
    </r>
    <r>
      <rPr>
        <b/>
        <i/>
        <vertAlign val="subscript"/>
        <sz val="11"/>
        <color theme="1"/>
        <rFont val="Calibri Light"/>
        <family val="2"/>
        <charset val="186"/>
        <scheme val="major"/>
      </rPr>
      <t>D</t>
    </r>
  </si>
  <si>
    <r>
      <t>h</t>
    </r>
    <r>
      <rPr>
        <b/>
        <i/>
        <vertAlign val="subscript"/>
        <sz val="11"/>
        <color theme="1"/>
        <rFont val="Calibri Light"/>
        <family val="2"/>
        <charset val="186"/>
        <scheme val="major"/>
      </rPr>
      <t>k</t>
    </r>
  </si>
  <si>
    <r>
      <t xml:space="preserve">raskuskiirendus </t>
    </r>
    <r>
      <rPr>
        <i/>
        <sz val="11"/>
        <color theme="1"/>
        <rFont val="Calibri Light"/>
        <family val="2"/>
        <charset val="186"/>
        <scheme val="major"/>
      </rPr>
      <t>g</t>
    </r>
  </si>
  <si>
    <r>
      <t>m/s</t>
    </r>
    <r>
      <rPr>
        <vertAlign val="superscript"/>
        <sz val="11"/>
        <color theme="1"/>
        <rFont val="Calibri Light"/>
        <family val="2"/>
        <charset val="186"/>
        <scheme val="major"/>
      </rPr>
      <t>2</t>
    </r>
  </si>
  <si>
    <t>kondensaadi tihedus</t>
  </si>
  <si>
    <t>kondensaadi kesmine temperatuur</t>
  </si>
  <si>
    <r>
      <t>kg/m</t>
    </r>
    <r>
      <rPr>
        <vertAlign val="superscript"/>
        <sz val="11"/>
        <color theme="1"/>
        <rFont val="Calibri Light"/>
        <family val="2"/>
        <charset val="186"/>
        <scheme val="major"/>
      </rPr>
      <t>3</t>
    </r>
  </si>
  <si>
    <r>
      <t xml:space="preserve">kondensaadi soojusjuhtivustegur </t>
    </r>
    <r>
      <rPr>
        <i/>
        <sz val="11"/>
        <color theme="1"/>
        <rFont val="Calibri Light"/>
        <family val="2"/>
        <charset val="186"/>
        <scheme val="major"/>
      </rPr>
      <t>k</t>
    </r>
    <r>
      <rPr>
        <i/>
        <vertAlign val="subscript"/>
        <sz val="11"/>
        <color theme="1"/>
        <rFont val="Calibri Light"/>
        <family val="2"/>
        <charset val="186"/>
        <scheme val="major"/>
      </rPr>
      <t>vesi</t>
    </r>
  </si>
  <si>
    <r>
      <t xml:space="preserve">kondensaadi kineetiline viskoossus </t>
    </r>
    <r>
      <rPr>
        <i/>
        <sz val="11"/>
        <color theme="1"/>
        <rFont val="Calibri Light"/>
        <family val="2"/>
        <charset val="186"/>
      </rPr>
      <t>ν</t>
    </r>
  </si>
  <si>
    <r>
      <t>m</t>
    </r>
    <r>
      <rPr>
        <vertAlign val="superscript"/>
        <sz val="11"/>
        <color theme="1"/>
        <rFont val="Calibri Light"/>
        <family val="2"/>
        <charset val="186"/>
        <scheme val="major"/>
      </rPr>
      <t>2</t>
    </r>
    <r>
      <rPr>
        <sz val="11"/>
        <color theme="1"/>
        <rFont val="Calibri Light"/>
        <family val="2"/>
        <charset val="186"/>
        <scheme val="major"/>
      </rPr>
      <t>/s</t>
    </r>
  </si>
  <si>
    <r>
      <t xml:space="preserve">seina temperatuur </t>
    </r>
    <r>
      <rPr>
        <i/>
        <sz val="11"/>
        <color theme="1"/>
        <rFont val="Calibri Light"/>
        <family val="2"/>
        <charset val="186"/>
        <scheme val="major"/>
      </rPr>
      <t>t</t>
    </r>
    <r>
      <rPr>
        <i/>
        <vertAlign val="subscript"/>
        <sz val="11"/>
        <color theme="1"/>
        <rFont val="Calibri Light"/>
        <family val="2"/>
        <charset val="186"/>
        <scheme val="major"/>
      </rPr>
      <t>1</t>
    </r>
  </si>
  <si>
    <r>
      <rPr>
        <i/>
        <sz val="11"/>
        <color theme="1"/>
        <rFont val="Calibri Light"/>
        <family val="2"/>
        <charset val="186"/>
        <scheme val="major"/>
      </rPr>
      <t>t</t>
    </r>
    <r>
      <rPr>
        <i/>
        <vertAlign val="subscript"/>
        <sz val="11"/>
        <color theme="1"/>
        <rFont val="Calibri Light"/>
        <family val="2"/>
        <charset val="186"/>
        <scheme val="major"/>
      </rPr>
      <t>k</t>
    </r>
    <r>
      <rPr>
        <i/>
        <sz val="11"/>
        <color theme="1"/>
        <rFont val="Calibri Light"/>
        <family val="2"/>
        <charset val="186"/>
        <scheme val="major"/>
      </rPr>
      <t>-t</t>
    </r>
    <r>
      <rPr>
        <i/>
        <vertAlign val="subscript"/>
        <sz val="11"/>
        <color theme="1"/>
        <rFont val="Calibri Light"/>
        <family val="2"/>
        <charset val="186"/>
        <scheme val="major"/>
      </rPr>
      <t>1</t>
    </r>
  </si>
  <si>
    <r>
      <t xml:space="preserve">Soojusülekandetegur soojusvahetuspinnalt kaugkütteveele </t>
    </r>
    <r>
      <rPr>
        <i/>
        <sz val="11"/>
        <color theme="1"/>
        <rFont val="Calibri Light"/>
        <family val="2"/>
        <charset val="186"/>
      </rPr>
      <t>h</t>
    </r>
    <r>
      <rPr>
        <i/>
        <vertAlign val="subscript"/>
        <sz val="11"/>
        <color theme="1"/>
        <rFont val="Calibri Light"/>
        <family val="2"/>
        <charset val="186"/>
      </rPr>
      <t>2</t>
    </r>
  </si>
  <si>
    <r>
      <t>kW/(m</t>
    </r>
    <r>
      <rPr>
        <vertAlign val="superscript"/>
        <sz val="11"/>
        <color theme="1"/>
        <rFont val="Calibri Light"/>
        <family val="2"/>
        <charset val="186"/>
        <scheme val="major"/>
      </rPr>
      <t>2</t>
    </r>
    <r>
      <rPr>
        <sz val="11"/>
        <color theme="1"/>
        <rFont val="Calibri Light"/>
        <family val="2"/>
        <charset val="186"/>
      </rPr>
      <t>∙K)</t>
    </r>
  </si>
  <si>
    <r>
      <t>vee soojusjuhtivustegur</t>
    </r>
    <r>
      <rPr>
        <i/>
        <sz val="11"/>
        <color theme="1"/>
        <rFont val="Calibri Light"/>
        <family val="2"/>
        <charset val="186"/>
        <scheme val="major"/>
      </rPr>
      <t xml:space="preserve"> k</t>
    </r>
    <r>
      <rPr>
        <i/>
        <vertAlign val="subscript"/>
        <sz val="11"/>
        <color theme="1"/>
        <rFont val="Calibri Light"/>
        <family val="2"/>
        <charset val="186"/>
        <scheme val="major"/>
      </rPr>
      <t>vesi</t>
    </r>
  </si>
  <si>
    <r>
      <t xml:space="preserve">kaugküttevee Nusselti arv </t>
    </r>
    <r>
      <rPr>
        <i/>
        <sz val="11"/>
        <color theme="1"/>
        <rFont val="Calibri Light"/>
        <family val="2"/>
        <charset val="186"/>
        <scheme val="major"/>
      </rPr>
      <t>Nu</t>
    </r>
  </si>
  <si>
    <r>
      <t xml:space="preserve">Kaugküttevee Reynoldsi arv </t>
    </r>
    <r>
      <rPr>
        <i/>
        <sz val="11"/>
        <color theme="1"/>
        <rFont val="Calibri Light"/>
        <family val="2"/>
        <charset val="186"/>
        <scheme val="major"/>
      </rPr>
      <t>Re</t>
    </r>
  </si>
  <si>
    <t>Voolamise režiim</t>
  </si>
  <si>
    <r>
      <t xml:space="preserve">Vee Grasshoffi arv </t>
    </r>
    <r>
      <rPr>
        <i/>
        <sz val="11"/>
        <color theme="1"/>
        <rFont val="Calibri Light"/>
        <family val="2"/>
        <charset val="186"/>
        <scheme val="major"/>
      </rPr>
      <t>Gr</t>
    </r>
  </si>
  <si>
    <r>
      <t xml:space="preserve">Vee Prandtli arv </t>
    </r>
    <r>
      <rPr>
        <i/>
        <sz val="11"/>
        <color theme="1"/>
        <rFont val="Calibri Light"/>
        <family val="2"/>
        <charset val="186"/>
        <scheme val="major"/>
      </rPr>
      <t>Pr</t>
    </r>
  </si>
  <si>
    <t>Vee soojuspaisumistegur</t>
  </si>
  <si>
    <r>
      <t>vee erimaht m</t>
    </r>
    <r>
      <rPr>
        <vertAlign val="superscript"/>
        <sz val="11"/>
        <color theme="1"/>
        <rFont val="Calibri Light"/>
        <family val="2"/>
        <charset val="186"/>
        <scheme val="major"/>
      </rPr>
      <t>3</t>
    </r>
    <r>
      <rPr>
        <sz val="11"/>
        <color theme="1"/>
        <rFont val="Calibri Light"/>
        <family val="2"/>
        <charset val="186"/>
        <scheme val="major"/>
      </rPr>
      <t>/kg</t>
    </r>
  </si>
  <si>
    <t>soojuspaisumistegur</t>
  </si>
  <si>
    <r>
      <rPr>
        <i/>
        <sz val="11"/>
        <color theme="1"/>
        <rFont val="Calibri Light"/>
        <family val="2"/>
        <charset val="186"/>
        <scheme val="major"/>
      </rPr>
      <t>Pr</t>
    </r>
    <r>
      <rPr>
        <i/>
        <sz val="11"/>
        <color theme="1"/>
        <rFont val="Calibri Light"/>
        <family val="2"/>
        <charset val="186"/>
      </rPr>
      <t>∙</t>
    </r>
    <r>
      <rPr>
        <i/>
        <sz val="9.9"/>
        <color theme="1"/>
        <rFont val="Calibri Light"/>
        <family val="2"/>
        <charset val="186"/>
      </rPr>
      <t>Gr</t>
    </r>
  </si>
  <si>
    <r>
      <t xml:space="preserve">toruseina temperatuur </t>
    </r>
    <r>
      <rPr>
        <i/>
        <sz val="11"/>
        <color theme="1"/>
        <rFont val="Calibri Light"/>
        <family val="2"/>
        <charset val="186"/>
        <scheme val="major"/>
      </rPr>
      <t>t</t>
    </r>
    <r>
      <rPr>
        <i/>
        <vertAlign val="subscript"/>
        <sz val="11"/>
        <color theme="1"/>
        <rFont val="Calibri Light"/>
        <family val="2"/>
        <charset val="186"/>
        <scheme val="major"/>
      </rPr>
      <t>2</t>
    </r>
  </si>
  <si>
    <r>
      <t xml:space="preserve">Kondensaadikihi paksus </t>
    </r>
    <r>
      <rPr>
        <i/>
        <sz val="11"/>
        <color theme="1"/>
        <rFont val="Calibri Light"/>
        <family val="2"/>
        <charset val="186"/>
      </rPr>
      <t>δ</t>
    </r>
  </si>
  <si>
    <r>
      <t>μ</t>
    </r>
    <r>
      <rPr>
        <i/>
        <vertAlign val="subscript"/>
        <sz val="9.9"/>
        <color theme="1"/>
        <rFont val="Calibri Light"/>
        <family val="2"/>
        <charset val="186"/>
      </rPr>
      <t xml:space="preserve">1 </t>
    </r>
    <r>
      <rPr>
        <i/>
        <sz val="9.9"/>
        <color theme="1"/>
        <rFont val="Calibri Light"/>
        <family val="2"/>
        <charset val="186"/>
      </rPr>
      <t>- t</t>
    </r>
    <r>
      <rPr>
        <i/>
        <vertAlign val="subscript"/>
        <sz val="9.9"/>
        <color theme="1"/>
        <rFont val="Calibri Light"/>
        <family val="2"/>
        <charset val="186"/>
      </rPr>
      <t>2</t>
    </r>
  </si>
  <si>
    <r>
      <t>μ</t>
    </r>
    <r>
      <rPr>
        <i/>
        <vertAlign val="subscript"/>
        <sz val="9.9"/>
        <color theme="1"/>
        <rFont val="Calibri Light"/>
        <family val="2"/>
        <charset val="186"/>
      </rPr>
      <t xml:space="preserve">2 </t>
    </r>
    <r>
      <rPr>
        <i/>
        <sz val="9.9"/>
        <color theme="1"/>
        <rFont val="Calibri Light"/>
        <family val="2"/>
        <charset val="186"/>
      </rPr>
      <t>- t''</t>
    </r>
  </si>
  <si>
    <r>
      <t>Pa</t>
    </r>
    <r>
      <rPr>
        <sz val="11"/>
        <color theme="1"/>
        <rFont val="Calibri Light"/>
        <family val="2"/>
        <charset val="186"/>
      </rPr>
      <t>∙</t>
    </r>
    <r>
      <rPr>
        <sz val="9.9"/>
        <color theme="1"/>
        <rFont val="Calibri Light"/>
        <family val="2"/>
        <charset val="186"/>
      </rPr>
      <t>s</t>
    </r>
  </si>
  <si>
    <t>Nusselti arv viskoossel voolamisel</t>
  </si>
  <si>
    <t>Nusselti arv gravitatsioonilisel viskoossel voolamisel</t>
  </si>
  <si>
    <t>Nusselti arv turbulentsel voolamisel</t>
  </si>
  <si>
    <r>
      <t xml:space="preserve">Termiline takistus </t>
    </r>
    <r>
      <rPr>
        <b/>
        <i/>
        <sz val="11"/>
        <color theme="1"/>
        <rFont val="Calibri Light"/>
        <family val="2"/>
        <charset val="186"/>
        <scheme val="major"/>
      </rPr>
      <t>R</t>
    </r>
  </si>
  <si>
    <r>
      <t>1/</t>
    </r>
    <r>
      <rPr>
        <i/>
        <sz val="11"/>
        <color theme="1"/>
        <rFont val="Calibri Light"/>
        <family val="2"/>
        <charset val="186"/>
        <scheme val="major"/>
      </rPr>
      <t>h</t>
    </r>
    <r>
      <rPr>
        <i/>
        <vertAlign val="subscript"/>
        <sz val="11"/>
        <color theme="1"/>
        <rFont val="Calibri Light"/>
        <family val="2"/>
        <charset val="186"/>
        <scheme val="major"/>
      </rPr>
      <t>1</t>
    </r>
    <r>
      <rPr>
        <sz val="11"/>
        <color theme="1"/>
        <rFont val="Calibri Light"/>
        <family val="2"/>
        <charset val="186"/>
      </rPr>
      <t>∙</t>
    </r>
    <r>
      <rPr>
        <i/>
        <sz val="9.9"/>
        <color theme="1"/>
        <rFont val="Calibri Light"/>
        <family val="2"/>
        <charset val="186"/>
      </rPr>
      <t>d</t>
    </r>
    <r>
      <rPr>
        <i/>
        <vertAlign val="subscript"/>
        <sz val="9.9"/>
        <color theme="1"/>
        <rFont val="Calibri Light"/>
        <family val="2"/>
        <charset val="186"/>
      </rPr>
      <t>1</t>
    </r>
  </si>
  <si>
    <r>
      <rPr>
        <i/>
        <sz val="11"/>
        <color theme="1"/>
        <rFont val="Calibri Light"/>
        <family val="2"/>
        <charset val="186"/>
        <scheme val="major"/>
      </rPr>
      <t>1/h</t>
    </r>
    <r>
      <rPr>
        <i/>
        <vertAlign val="subscript"/>
        <sz val="11"/>
        <color theme="1"/>
        <rFont val="Calibri Light"/>
        <family val="2"/>
        <charset val="186"/>
        <scheme val="major"/>
      </rPr>
      <t>2</t>
    </r>
    <r>
      <rPr>
        <sz val="11"/>
        <color theme="1"/>
        <rFont val="Calibri Light"/>
        <family val="2"/>
        <charset val="186"/>
      </rPr>
      <t>∙</t>
    </r>
    <r>
      <rPr>
        <i/>
        <sz val="9.9"/>
        <color theme="1"/>
        <rFont val="Calibri Light"/>
        <family val="2"/>
        <charset val="186"/>
      </rPr>
      <t>d</t>
    </r>
    <r>
      <rPr>
        <i/>
        <vertAlign val="subscript"/>
        <sz val="9.9"/>
        <color theme="1"/>
        <rFont val="Calibri Light"/>
        <family val="2"/>
        <charset val="186"/>
      </rPr>
      <t>2</t>
    </r>
  </si>
  <si>
    <r>
      <t>(m</t>
    </r>
    <r>
      <rPr>
        <vertAlign val="superscript"/>
        <sz val="11"/>
        <color theme="1"/>
        <rFont val="Calibri Light"/>
        <family val="2"/>
        <charset val="186"/>
        <scheme val="major"/>
      </rPr>
      <t>2</t>
    </r>
    <r>
      <rPr>
        <sz val="11"/>
        <color theme="1"/>
        <rFont val="Calibri Light"/>
        <family val="2"/>
        <charset val="186"/>
      </rPr>
      <t>∙</t>
    </r>
    <r>
      <rPr>
        <sz val="9.9"/>
        <color theme="1"/>
        <rFont val="Calibri Light"/>
        <family val="2"/>
        <charset val="186"/>
      </rPr>
      <t>K)/kW</t>
    </r>
  </si>
  <si>
    <r>
      <t xml:space="preserve">Soojusvoog </t>
    </r>
    <r>
      <rPr>
        <i/>
        <sz val="11"/>
        <color theme="1"/>
        <rFont val="Calibri Light"/>
        <family val="2"/>
        <charset val="186"/>
        <scheme val="major"/>
      </rPr>
      <t>q</t>
    </r>
  </si>
  <si>
    <r>
      <t>kW/m</t>
    </r>
    <r>
      <rPr>
        <vertAlign val="superscript"/>
        <sz val="11"/>
        <color theme="1"/>
        <rFont val="Calibri Light"/>
        <family val="2"/>
        <charset val="186"/>
        <scheme val="major"/>
      </rPr>
      <t>2</t>
    </r>
  </si>
  <si>
    <r>
      <t>Soojusvoog Q</t>
    </r>
    <r>
      <rPr>
        <b/>
        <vertAlign val="subscript"/>
        <sz val="11"/>
        <color theme="1"/>
        <rFont val="Calibri Light"/>
        <family val="2"/>
        <charset val="186"/>
        <scheme val="major"/>
      </rPr>
      <t>SGK</t>
    </r>
  </si>
  <si>
    <r>
      <t xml:space="preserve">Suitsugaaside kiirus </t>
    </r>
    <r>
      <rPr>
        <i/>
        <sz val="11"/>
        <rFont val="Calibri Light"/>
        <family val="2"/>
        <charset val="186"/>
        <scheme val="major"/>
      </rPr>
      <t>v</t>
    </r>
  </si>
  <si>
    <t>m/s</t>
  </si>
  <si>
    <r>
      <t xml:space="preserve">Suitsugaaside kineetiline viskoossus </t>
    </r>
    <r>
      <rPr>
        <i/>
        <sz val="11"/>
        <rFont val="Calibri Light"/>
        <family val="2"/>
        <charset val="186"/>
      </rPr>
      <t>ν</t>
    </r>
  </si>
  <si>
    <r>
      <t>toruridade arvu parandustegur</t>
    </r>
    <r>
      <rPr>
        <i/>
        <sz val="11"/>
        <color theme="1"/>
        <rFont val="Calibri Light"/>
        <family val="2"/>
        <charset val="186"/>
        <scheme val="major"/>
      </rPr>
      <t xml:space="preserve"> </t>
    </r>
    <r>
      <rPr>
        <i/>
        <sz val="11"/>
        <color theme="1"/>
        <rFont val="Calibri Light"/>
        <family val="2"/>
        <charset val="186"/>
      </rPr>
      <t>ε</t>
    </r>
    <r>
      <rPr>
        <i/>
        <vertAlign val="subscript"/>
        <sz val="9.9"/>
        <color theme="1"/>
        <rFont val="Calibri Light"/>
        <family val="2"/>
        <charset val="186"/>
      </rPr>
      <t>n</t>
    </r>
  </si>
  <si>
    <r>
      <t xml:space="preserve">hüdrauliline takistus </t>
    </r>
    <r>
      <rPr>
        <i/>
        <sz val="11"/>
        <color theme="1"/>
        <rFont val="Calibri Light"/>
        <family val="2"/>
        <charset val="186"/>
      </rPr>
      <t>ξ</t>
    </r>
  </si>
  <si>
    <t>kuivaine, kg/kg</t>
  </si>
  <si>
    <t>tarbimisaine, kg/kg</t>
  </si>
  <si>
    <t>Valemi kordajad</t>
  </si>
  <si>
    <r>
      <t>μ</t>
    </r>
    <r>
      <rPr>
        <i/>
        <vertAlign val="subscript"/>
        <sz val="11"/>
        <color theme="1"/>
        <rFont val="Calibri Light"/>
        <family val="2"/>
        <charset val="186"/>
      </rPr>
      <t>G</t>
    </r>
  </si>
  <si>
    <r>
      <t>μ</t>
    </r>
    <r>
      <rPr>
        <i/>
        <vertAlign val="subscript"/>
        <sz val="11"/>
        <color theme="1"/>
        <rFont val="Calibri Light"/>
        <family val="2"/>
        <charset val="186"/>
      </rPr>
      <t>A</t>
    </r>
  </si>
  <si>
    <r>
      <t>μ</t>
    </r>
    <r>
      <rPr>
        <i/>
        <vertAlign val="subscript"/>
        <sz val="11"/>
        <color theme="1"/>
        <rFont val="Calibri Light"/>
        <family val="2"/>
        <charset val="186"/>
      </rPr>
      <t>Ad</t>
    </r>
  </si>
  <si>
    <r>
      <t>μ</t>
    </r>
    <r>
      <rPr>
        <i/>
        <vertAlign val="subscript"/>
        <sz val="11"/>
        <color theme="1"/>
        <rFont val="Calibri Light"/>
        <family val="2"/>
        <charset val="186"/>
      </rPr>
      <t>Aod</t>
    </r>
  </si>
  <si>
    <r>
      <t>V</t>
    </r>
    <r>
      <rPr>
        <i/>
        <vertAlign val="subscript"/>
        <sz val="11"/>
        <color theme="1"/>
        <rFont val="Calibri Light"/>
        <family val="2"/>
        <charset val="186"/>
      </rPr>
      <t>God</t>
    </r>
  </si>
  <si>
    <r>
      <t>μ</t>
    </r>
    <r>
      <rPr>
        <i/>
        <vertAlign val="subscript"/>
        <sz val="11"/>
        <color theme="1"/>
        <rFont val="Calibri Light"/>
        <family val="2"/>
        <charset val="186"/>
      </rPr>
      <t>CO2</t>
    </r>
  </si>
  <si>
    <r>
      <t>μ</t>
    </r>
    <r>
      <rPr>
        <i/>
        <vertAlign val="subscript"/>
        <sz val="11"/>
        <color theme="1"/>
        <rFont val="Calibri Light"/>
        <family val="2"/>
        <charset val="186"/>
      </rPr>
      <t>H2OF</t>
    </r>
  </si>
  <si>
    <r>
      <t>x</t>
    </r>
    <r>
      <rPr>
        <i/>
        <vertAlign val="subscript"/>
        <sz val="11"/>
        <color theme="1"/>
        <rFont val="Calibri Light"/>
        <family val="2"/>
        <charset val="186"/>
        <scheme val="major"/>
      </rPr>
      <t>H2O</t>
    </r>
  </si>
  <si>
    <t>Suitsugaaside kogus</t>
  </si>
  <si>
    <t>Katlasse sisenev niiske õhk</t>
  </si>
  <si>
    <t>Katlasse sisenev kuiv õhk</t>
  </si>
  <si>
    <t>Kuiva põlemisõhu kogus</t>
  </si>
  <si>
    <t>Tekkivate suitsugaaside ruumala</t>
  </si>
  <si>
    <r>
      <t>Tekkiva CO</t>
    </r>
    <r>
      <rPr>
        <vertAlign val="subscript"/>
        <sz val="11"/>
        <color theme="1"/>
        <rFont val="Calibri Light"/>
        <family val="2"/>
        <charset val="186"/>
        <scheme val="major"/>
      </rPr>
      <t xml:space="preserve">2 </t>
    </r>
    <r>
      <rPr>
        <sz val="11"/>
        <color theme="1"/>
        <rFont val="Calibri Light"/>
        <family val="2"/>
        <charset val="186"/>
        <scheme val="major"/>
      </rPr>
      <t>kogus</t>
    </r>
  </si>
  <si>
    <t>Veeaur suitsugaasides</t>
  </si>
  <si>
    <t>Suitsugaaside niiskusesisaldus</t>
  </si>
  <si>
    <r>
      <t>kg</t>
    </r>
    <r>
      <rPr>
        <vertAlign val="subscript"/>
        <sz val="11"/>
        <color theme="1"/>
        <rFont val="Calibri Light"/>
        <family val="2"/>
        <charset val="186"/>
        <scheme val="major"/>
      </rPr>
      <t>H2O</t>
    </r>
    <r>
      <rPr>
        <sz val="11"/>
        <color theme="1"/>
        <rFont val="Calibri Light"/>
        <family val="2"/>
        <charset val="186"/>
        <scheme val="major"/>
      </rPr>
      <t>/kg</t>
    </r>
    <r>
      <rPr>
        <vertAlign val="subscript"/>
        <sz val="11"/>
        <color theme="1"/>
        <rFont val="Calibri Light"/>
        <family val="2"/>
        <charset val="186"/>
        <scheme val="major"/>
      </rPr>
      <t>kuivad gaasid</t>
    </r>
  </si>
  <si>
    <r>
      <t>μ</t>
    </r>
    <r>
      <rPr>
        <i/>
        <vertAlign val="subscript"/>
        <sz val="11"/>
        <color theme="1"/>
        <rFont val="Calibri Light"/>
        <family val="2"/>
        <charset val="186"/>
      </rPr>
      <t>AS</t>
    </r>
  </si>
  <si>
    <r>
      <t>x</t>
    </r>
    <r>
      <rPr>
        <i/>
        <vertAlign val="subscript"/>
        <sz val="11"/>
        <color theme="1"/>
        <rFont val="Calibri Light"/>
        <family val="2"/>
        <charset val="186"/>
        <scheme val="major"/>
      </rPr>
      <t>H2OAd</t>
    </r>
  </si>
  <si>
    <r>
      <t>ρ</t>
    </r>
    <r>
      <rPr>
        <i/>
        <vertAlign val="subscript"/>
        <sz val="11"/>
        <color theme="1"/>
        <rFont val="Calibri Light"/>
        <family val="2"/>
        <charset val="186"/>
      </rPr>
      <t>πAd</t>
    </r>
  </si>
  <si>
    <r>
      <t>y</t>
    </r>
    <r>
      <rPr>
        <i/>
        <vertAlign val="subscript"/>
        <sz val="11"/>
        <color theme="1"/>
        <rFont val="Calibri Light"/>
        <family val="2"/>
        <charset val="186"/>
        <scheme val="major"/>
      </rPr>
      <t>O2d</t>
    </r>
  </si>
  <si>
    <r>
      <t>y</t>
    </r>
    <r>
      <rPr>
        <i/>
        <vertAlign val="subscript"/>
        <sz val="11"/>
        <color theme="1"/>
        <rFont val="Calibri Light"/>
        <family val="2"/>
        <charset val="186"/>
        <scheme val="major"/>
      </rPr>
      <t>O2Ad</t>
    </r>
  </si>
  <si>
    <t>Suitsugaasis pihustunud veeaur</t>
  </si>
  <si>
    <t>Lenduvate tuhaosakeste sisaldus</t>
  </si>
  <si>
    <t>Põlemisõhu niiskusesisaldus</t>
  </si>
  <si>
    <t>Põlemisõhu tihedus</t>
  </si>
  <si>
    <t>Suitsugaasi hapnikusisaldus</t>
  </si>
  <si>
    <r>
      <t>m</t>
    </r>
    <r>
      <rPr>
        <vertAlign val="superscript"/>
        <sz val="11"/>
        <color theme="1"/>
        <rFont val="Calibri Light"/>
        <family val="2"/>
        <charset val="186"/>
        <scheme val="major"/>
      </rPr>
      <t>3</t>
    </r>
    <r>
      <rPr>
        <sz val="11"/>
        <color theme="1"/>
        <rFont val="Calibri Light"/>
        <family val="2"/>
        <charset val="186"/>
        <scheme val="major"/>
      </rPr>
      <t>/m</t>
    </r>
    <r>
      <rPr>
        <vertAlign val="superscript"/>
        <sz val="11"/>
        <color theme="1"/>
        <rFont val="Calibri Light"/>
        <family val="2"/>
        <charset val="186"/>
        <scheme val="major"/>
      </rPr>
      <t>3</t>
    </r>
  </si>
  <si>
    <t>Põlemisõhu hapnikusisaldus</t>
  </si>
  <si>
    <t>Stöhhiomeetriline meetod</t>
  </si>
  <si>
    <t>DIN EN 12952-15</t>
  </si>
  <si>
    <t>Võrreldav suurus</t>
  </si>
  <si>
    <t>Kuivad suitsugaasid</t>
  </si>
  <si>
    <t>Veeauru kogus suitsugaasides</t>
  </si>
  <si>
    <r>
      <t>Suitsugaaside CO</t>
    </r>
    <r>
      <rPr>
        <vertAlign val="subscript"/>
        <sz val="11"/>
        <color theme="1"/>
        <rFont val="Calibri Light"/>
        <family val="2"/>
        <charset val="186"/>
        <scheme val="major"/>
      </rPr>
      <t>2</t>
    </r>
    <r>
      <rPr>
        <sz val="11"/>
        <color theme="1"/>
        <rFont val="Calibri Light"/>
        <family val="2"/>
        <charset val="186"/>
        <scheme val="major"/>
      </rPr>
      <t xml:space="preserve"> sisaldus</t>
    </r>
  </si>
  <si>
    <t>Põlemisõhu kogus</t>
  </si>
  <si>
    <t xml:space="preserve">Suitsugaasid kokku </t>
  </si>
  <si>
    <t>Suitsugaaside kondensaatori nimivõimsus</t>
  </si>
  <si>
    <r>
      <t>niiskus m</t>
    </r>
    <r>
      <rPr>
        <vertAlign val="subscript"/>
        <sz val="11"/>
        <color theme="1"/>
        <rFont val="Calibri Light"/>
        <family val="2"/>
        <charset val="186"/>
        <scheme val="major"/>
      </rPr>
      <t xml:space="preserve">H2O </t>
    </r>
    <r>
      <rPr>
        <sz val="11"/>
        <color theme="1"/>
        <rFont val="Calibri Light"/>
        <family val="2"/>
        <charset val="186"/>
        <scheme val="major"/>
      </rPr>
      <t>&gt; 45 %</t>
    </r>
  </si>
  <si>
    <r>
      <t>Q</t>
    </r>
    <r>
      <rPr>
        <i/>
        <vertAlign val="subscript"/>
        <sz val="11"/>
        <color theme="1"/>
        <rFont val="Calibri Light"/>
        <family val="2"/>
        <charset val="186"/>
        <scheme val="major"/>
      </rPr>
      <t>SGK</t>
    </r>
  </si>
  <si>
    <r>
      <t>niiskus m</t>
    </r>
    <r>
      <rPr>
        <vertAlign val="subscript"/>
        <sz val="11"/>
        <color theme="1"/>
        <rFont val="Calibri Light"/>
        <family val="2"/>
        <charset val="186"/>
        <scheme val="major"/>
      </rPr>
      <t xml:space="preserve">H2O </t>
    </r>
    <r>
      <rPr>
        <sz val="11"/>
        <color theme="1"/>
        <rFont val="Calibri Light"/>
        <family val="2"/>
        <charset val="186"/>
        <scheme val="major"/>
      </rPr>
      <t>= 40 ... 45 %</t>
    </r>
  </si>
  <si>
    <r>
      <t>niiskus m</t>
    </r>
    <r>
      <rPr>
        <vertAlign val="subscript"/>
        <sz val="11"/>
        <color theme="1"/>
        <rFont val="Calibri Light"/>
        <family val="2"/>
        <charset val="186"/>
        <scheme val="major"/>
      </rPr>
      <t xml:space="preserve">H2O </t>
    </r>
    <r>
      <rPr>
        <sz val="11"/>
        <color theme="1"/>
        <rFont val="Calibri Light"/>
        <family val="2"/>
        <charset val="186"/>
        <scheme val="major"/>
      </rPr>
      <t>= 35 ... 40 %</t>
    </r>
  </si>
  <si>
    <r>
      <t>niiskus m</t>
    </r>
    <r>
      <rPr>
        <vertAlign val="subscript"/>
        <sz val="11"/>
        <color theme="1"/>
        <rFont val="Calibri Light"/>
        <family val="2"/>
        <charset val="186"/>
        <scheme val="major"/>
      </rPr>
      <t xml:space="preserve">H2O </t>
    </r>
    <r>
      <rPr>
        <sz val="11"/>
        <color theme="1"/>
        <rFont val="Calibri Light"/>
        <family val="2"/>
        <charset val="186"/>
        <scheme val="major"/>
      </rPr>
      <t>= 30 ... 35 %</t>
    </r>
  </si>
  <si>
    <r>
      <t xml:space="preserve">Tegelik soojustagastus </t>
    </r>
    <r>
      <rPr>
        <b/>
        <i/>
        <sz val="11"/>
        <color theme="1"/>
        <rFont val="Calibri Light"/>
        <family val="2"/>
        <charset val="186"/>
        <scheme val="major"/>
      </rPr>
      <t>Q</t>
    </r>
    <r>
      <rPr>
        <b/>
        <i/>
        <vertAlign val="subscript"/>
        <sz val="11"/>
        <color theme="1"/>
        <rFont val="Calibri Light"/>
        <family val="2"/>
        <charset val="186"/>
        <scheme val="major"/>
      </rPr>
      <t>SGK</t>
    </r>
  </si>
  <si>
    <t>mudeli järgi SGK max võimsus, MW</t>
  </si>
  <si>
    <t>mudeli järgi tegelik SGK võimsus, MW</t>
  </si>
  <si>
    <t>soojustagastus MW, N = 44,4 MW</t>
  </si>
  <si>
    <t>Niiskus 30 … 35 %</t>
  </si>
  <si>
    <r>
      <t>Q</t>
    </r>
    <r>
      <rPr>
        <vertAlign val="subscript"/>
        <sz val="11"/>
        <color theme="1"/>
        <rFont val="Calibri Light"/>
        <family val="2"/>
        <charset val="186"/>
        <scheme val="major"/>
      </rPr>
      <t>SGK</t>
    </r>
  </si>
  <si>
    <r>
      <t>Q</t>
    </r>
    <r>
      <rPr>
        <vertAlign val="subscript"/>
        <sz val="11"/>
        <color theme="1"/>
        <rFont val="Calibri Light"/>
        <family val="2"/>
        <charset val="186"/>
        <scheme val="major"/>
      </rPr>
      <t>SGK</t>
    </r>
    <r>
      <rPr>
        <sz val="11"/>
        <color theme="1"/>
        <rFont val="Calibri Light"/>
        <family val="2"/>
        <charset val="186"/>
        <scheme val="major"/>
      </rPr>
      <t xml:space="preserve"> mudel</t>
    </r>
  </si>
  <si>
    <t>Niiskus 35 … 40 %</t>
  </si>
  <si>
    <t>Niiskus 40 …  45 %</t>
  </si>
  <si>
    <t>tagasivool 41 °C</t>
  </si>
  <si>
    <r>
      <t>m</t>
    </r>
    <r>
      <rPr>
        <vertAlign val="subscript"/>
        <sz val="11"/>
        <color theme="1"/>
        <rFont val="Calibri Light"/>
        <family val="2"/>
        <charset val="186"/>
        <scheme val="major"/>
      </rPr>
      <t>H2O</t>
    </r>
  </si>
  <si>
    <t>sg_temp, °C</t>
  </si>
  <si>
    <t>peale SGK gaasid, °C</t>
  </si>
  <si>
    <t>kaugkütte return, °C</t>
  </si>
  <si>
    <t>vee temp peale SGK, °C</t>
  </si>
  <si>
    <t>tagasivool 42 °C</t>
  </si>
  <si>
    <t>tagasivool 43 °C</t>
  </si>
  <si>
    <t>tagasivool 44 °C</t>
  </si>
  <si>
    <t>tagasivool 45 °C</t>
  </si>
  <si>
    <t>tagasivool 46 °C</t>
  </si>
  <si>
    <t>tagasivool 47 °C</t>
  </si>
  <si>
    <t>tagasivool 48 °C</t>
  </si>
  <si>
    <r>
      <t xml:space="preserve">Kütuse niiskus </t>
    </r>
    <r>
      <rPr>
        <i/>
        <sz val="11"/>
        <color theme="1"/>
        <rFont val="Calibri Light"/>
        <family val="2"/>
        <charset val="186"/>
        <scheme val="major"/>
      </rPr>
      <t>m</t>
    </r>
    <r>
      <rPr>
        <i/>
        <vertAlign val="subscript"/>
        <sz val="11"/>
        <color theme="1"/>
        <rFont val="Calibri Light"/>
        <family val="2"/>
        <charset val="186"/>
        <scheme val="major"/>
      </rPr>
      <t>H2O</t>
    </r>
    <r>
      <rPr>
        <sz val="11"/>
        <color theme="1"/>
        <rFont val="Calibri Light"/>
        <family val="2"/>
        <charset val="186"/>
        <scheme val="major"/>
      </rPr>
      <t xml:space="preserve"> = 20 %</t>
    </r>
  </si>
  <si>
    <r>
      <t xml:space="preserve">Kütuse niiskus </t>
    </r>
    <r>
      <rPr>
        <i/>
        <sz val="11"/>
        <color theme="1"/>
        <rFont val="Calibri Light"/>
        <family val="2"/>
        <charset val="186"/>
        <scheme val="major"/>
      </rPr>
      <t>m</t>
    </r>
    <r>
      <rPr>
        <i/>
        <vertAlign val="subscript"/>
        <sz val="11"/>
        <color theme="1"/>
        <rFont val="Calibri Light"/>
        <family val="2"/>
        <charset val="186"/>
        <scheme val="major"/>
      </rPr>
      <t>H2O</t>
    </r>
    <r>
      <rPr>
        <i/>
        <sz val="11"/>
        <color theme="1"/>
        <rFont val="Calibri Light"/>
        <family val="2"/>
        <charset val="186"/>
        <scheme val="major"/>
      </rPr>
      <t xml:space="preserve"> </t>
    </r>
    <r>
      <rPr>
        <sz val="11"/>
        <color theme="1"/>
        <rFont val="Calibri Light"/>
        <family val="2"/>
        <charset val="186"/>
        <scheme val="major"/>
      </rPr>
      <t>= 25 %</t>
    </r>
  </si>
  <si>
    <r>
      <t xml:space="preserve">Kütuse niiskus </t>
    </r>
    <r>
      <rPr>
        <i/>
        <sz val="11"/>
        <color theme="1"/>
        <rFont val="Calibri Light"/>
        <family val="2"/>
        <charset val="186"/>
        <scheme val="major"/>
      </rPr>
      <t>m</t>
    </r>
    <r>
      <rPr>
        <i/>
        <vertAlign val="subscript"/>
        <sz val="11"/>
        <color theme="1"/>
        <rFont val="Calibri Light"/>
        <family val="2"/>
        <charset val="186"/>
        <scheme val="major"/>
      </rPr>
      <t>H2O</t>
    </r>
    <r>
      <rPr>
        <i/>
        <sz val="11"/>
        <color theme="1"/>
        <rFont val="Calibri Light"/>
        <family val="2"/>
        <charset val="186"/>
        <scheme val="major"/>
      </rPr>
      <t xml:space="preserve"> </t>
    </r>
    <r>
      <rPr>
        <sz val="11"/>
        <color theme="1"/>
        <rFont val="Calibri Light"/>
        <family val="2"/>
        <charset val="186"/>
        <scheme val="major"/>
      </rPr>
      <t>= 30%</t>
    </r>
  </si>
  <si>
    <r>
      <t xml:space="preserve">Kütuse niiskus </t>
    </r>
    <r>
      <rPr>
        <i/>
        <sz val="11"/>
        <color theme="1"/>
        <rFont val="Calibri Light"/>
        <family val="2"/>
        <charset val="186"/>
        <scheme val="major"/>
      </rPr>
      <t>m</t>
    </r>
    <r>
      <rPr>
        <i/>
        <vertAlign val="subscript"/>
        <sz val="11"/>
        <color theme="1"/>
        <rFont val="Calibri Light"/>
        <family val="2"/>
        <charset val="186"/>
        <scheme val="major"/>
      </rPr>
      <t>H2O</t>
    </r>
    <r>
      <rPr>
        <sz val="11"/>
        <color theme="1"/>
        <rFont val="Calibri Light"/>
        <family val="2"/>
        <charset val="186"/>
        <scheme val="major"/>
      </rPr>
      <t xml:space="preserve"> = 35%</t>
    </r>
  </si>
  <si>
    <r>
      <t xml:space="preserve">Kütuse niiskus </t>
    </r>
    <r>
      <rPr>
        <i/>
        <sz val="11"/>
        <color theme="1"/>
        <rFont val="Calibri Light"/>
        <family val="2"/>
        <charset val="186"/>
        <scheme val="major"/>
      </rPr>
      <t>m</t>
    </r>
    <r>
      <rPr>
        <i/>
        <vertAlign val="subscript"/>
        <sz val="11"/>
        <color theme="1"/>
        <rFont val="Calibri Light"/>
        <family val="2"/>
        <charset val="186"/>
        <scheme val="major"/>
      </rPr>
      <t>H2O</t>
    </r>
    <r>
      <rPr>
        <sz val="11"/>
        <color theme="1"/>
        <rFont val="Calibri Light"/>
        <family val="2"/>
        <charset val="186"/>
        <scheme val="major"/>
      </rPr>
      <t xml:space="preserve"> = 40%</t>
    </r>
  </si>
  <si>
    <r>
      <t xml:space="preserve">Kütuse niiskus </t>
    </r>
    <r>
      <rPr>
        <i/>
        <sz val="11"/>
        <color theme="1"/>
        <rFont val="Calibri Light"/>
        <family val="2"/>
        <charset val="186"/>
        <scheme val="major"/>
      </rPr>
      <t>m</t>
    </r>
    <r>
      <rPr>
        <i/>
        <vertAlign val="subscript"/>
        <sz val="11"/>
        <color theme="1"/>
        <rFont val="Calibri Light"/>
        <family val="2"/>
        <charset val="186"/>
        <scheme val="major"/>
      </rPr>
      <t>H2O</t>
    </r>
    <r>
      <rPr>
        <sz val="11"/>
        <color theme="1"/>
        <rFont val="Calibri Light"/>
        <family val="2"/>
        <charset val="186"/>
        <scheme val="major"/>
      </rPr>
      <t xml:space="preserve"> = 45 %</t>
    </r>
  </si>
  <si>
    <r>
      <t xml:space="preserve">Kütuse niiskus </t>
    </r>
    <r>
      <rPr>
        <i/>
        <sz val="11"/>
        <color theme="1"/>
        <rFont val="Calibri Light"/>
        <family val="2"/>
        <charset val="186"/>
        <scheme val="major"/>
      </rPr>
      <t>m</t>
    </r>
    <r>
      <rPr>
        <i/>
        <vertAlign val="subscript"/>
        <sz val="11"/>
        <color theme="1"/>
        <rFont val="Calibri Light"/>
        <family val="2"/>
        <charset val="186"/>
        <scheme val="major"/>
      </rPr>
      <t>H2O</t>
    </r>
    <r>
      <rPr>
        <sz val="11"/>
        <color theme="1"/>
        <rFont val="Calibri Light"/>
        <family val="2"/>
        <charset val="186"/>
        <scheme val="major"/>
      </rPr>
      <t xml:space="preserve"> = 50 %</t>
    </r>
  </si>
  <si>
    <r>
      <t xml:space="preserve">Kütuse niiskus </t>
    </r>
    <r>
      <rPr>
        <i/>
        <sz val="11"/>
        <color theme="1"/>
        <rFont val="Calibri Light"/>
        <family val="2"/>
        <charset val="186"/>
        <scheme val="major"/>
      </rPr>
      <t>m</t>
    </r>
    <r>
      <rPr>
        <i/>
        <vertAlign val="subscript"/>
        <sz val="11"/>
        <color theme="1"/>
        <rFont val="Calibri Light"/>
        <family val="2"/>
        <charset val="186"/>
        <scheme val="major"/>
      </rPr>
      <t>H2O</t>
    </r>
    <r>
      <rPr>
        <sz val="11"/>
        <color theme="1"/>
        <rFont val="Calibri Light"/>
        <family val="2"/>
        <charset val="186"/>
        <scheme val="major"/>
      </rPr>
      <t xml:space="preserve"> = 55 %</t>
    </r>
  </si>
  <si>
    <r>
      <t xml:space="preserve">Kütuse niiskus </t>
    </r>
    <r>
      <rPr>
        <i/>
        <sz val="11"/>
        <color theme="1"/>
        <rFont val="Calibri Light"/>
        <family val="2"/>
        <charset val="186"/>
        <scheme val="major"/>
      </rPr>
      <t>m</t>
    </r>
    <r>
      <rPr>
        <i/>
        <vertAlign val="subscript"/>
        <sz val="11"/>
        <color theme="1"/>
        <rFont val="Calibri Light"/>
        <family val="2"/>
        <charset val="186"/>
        <scheme val="major"/>
      </rPr>
      <t>H2O</t>
    </r>
    <r>
      <rPr>
        <sz val="11"/>
        <color theme="1"/>
        <rFont val="Calibri Light"/>
        <family val="2"/>
        <charset val="186"/>
        <scheme val="major"/>
      </rPr>
      <t xml:space="preserve"> = 60 %</t>
    </r>
  </si>
  <si>
    <r>
      <t xml:space="preserve">Kütuse niiskus </t>
    </r>
    <r>
      <rPr>
        <i/>
        <sz val="11"/>
        <color theme="1"/>
        <rFont val="Calibri Light"/>
        <family val="2"/>
        <charset val="186"/>
        <scheme val="major"/>
      </rPr>
      <t>m</t>
    </r>
    <r>
      <rPr>
        <i/>
        <vertAlign val="subscript"/>
        <sz val="11"/>
        <color theme="1"/>
        <rFont val="Calibri Light"/>
        <family val="2"/>
        <charset val="186"/>
        <scheme val="major"/>
      </rPr>
      <t>H2O</t>
    </r>
  </si>
  <si>
    <t>W = 35%</t>
  </si>
  <si>
    <t>kaugkütte tagasivoolu temperatuur</t>
  </si>
  <si>
    <t>arvutused 1 MWh kohta</t>
  </si>
  <si>
    <t>Põlemisõhk</t>
  </si>
  <si>
    <t>lämmastik</t>
  </si>
  <si>
    <t>hapnik</t>
  </si>
  <si>
    <t>argoon</t>
  </si>
  <si>
    <t>süsihappegaas</t>
  </si>
  <si>
    <r>
      <t>erisoojus c</t>
    </r>
    <r>
      <rPr>
        <vertAlign val="subscript"/>
        <sz val="11"/>
        <color theme="1"/>
        <rFont val="Calibri Light"/>
        <family val="2"/>
        <charset val="186"/>
        <scheme val="major"/>
      </rPr>
      <t>p</t>
    </r>
    <r>
      <rPr>
        <sz val="11"/>
        <color theme="1"/>
        <rFont val="Calibri Light"/>
        <family val="2"/>
        <charset val="186"/>
        <scheme val="major"/>
      </rPr>
      <t xml:space="preserve">, t = 20 </t>
    </r>
    <r>
      <rPr>
        <sz val="11"/>
        <color theme="1"/>
        <rFont val="Calibri Light"/>
        <family val="2"/>
        <charset val="186"/>
      </rPr>
      <t>°C [kJ/(kg∙K)]</t>
    </r>
  </si>
  <si>
    <r>
      <t>entalpia h</t>
    </r>
    <r>
      <rPr>
        <vertAlign val="subscript"/>
        <sz val="11"/>
        <color theme="1"/>
        <rFont val="Calibri Light"/>
        <family val="2"/>
        <charset val="186"/>
        <scheme val="major"/>
      </rPr>
      <t>0</t>
    </r>
    <r>
      <rPr>
        <sz val="11"/>
        <color theme="1"/>
        <rFont val="Calibri Light"/>
        <family val="2"/>
        <charset val="186"/>
        <scheme val="major"/>
      </rPr>
      <t xml:space="preserve">, t = 20 </t>
    </r>
    <r>
      <rPr>
        <sz val="11"/>
        <color theme="1"/>
        <rFont val="Calibri Light"/>
        <family val="2"/>
        <charset val="186"/>
      </rPr>
      <t>°C (kJ/kg)</t>
    </r>
  </si>
  <si>
    <t>Põlemisõhuga kaasnev soojus</t>
  </si>
  <si>
    <r>
      <t>(Q</t>
    </r>
    <r>
      <rPr>
        <i/>
        <vertAlign val="subscript"/>
        <sz val="11"/>
        <color theme="1"/>
        <rFont val="Calibri Light"/>
        <family val="2"/>
        <charset val="186"/>
        <scheme val="major"/>
      </rPr>
      <t>SGK</t>
    </r>
    <r>
      <rPr>
        <i/>
        <sz val="11"/>
        <color theme="1"/>
        <rFont val="Calibri Light"/>
        <family val="2"/>
        <charset val="186"/>
        <scheme val="major"/>
      </rPr>
      <t>-Q</t>
    </r>
    <r>
      <rPr>
        <i/>
        <vertAlign val="subscript"/>
        <sz val="11"/>
        <color theme="1"/>
        <rFont val="Calibri Light"/>
        <family val="2"/>
        <charset val="186"/>
        <scheme val="major"/>
      </rPr>
      <t>õhk</t>
    </r>
    <r>
      <rPr>
        <i/>
        <sz val="11"/>
        <color theme="1"/>
        <rFont val="Calibri Light"/>
        <family val="2"/>
        <charset val="186"/>
        <scheme val="major"/>
      </rPr>
      <t>)/Q</t>
    </r>
    <r>
      <rPr>
        <i/>
        <vertAlign val="subscript"/>
        <sz val="11"/>
        <color theme="1"/>
        <rFont val="Calibri Light"/>
        <family val="2"/>
        <charset val="186"/>
        <scheme val="major"/>
      </rPr>
      <t>katel</t>
    </r>
  </si>
  <si>
    <r>
      <rPr>
        <i/>
        <sz val="11"/>
        <color theme="1"/>
        <rFont val="Calibri Light"/>
        <family val="2"/>
        <charset val="186"/>
        <scheme val="major"/>
      </rPr>
      <t>t''</t>
    </r>
    <r>
      <rPr>
        <sz val="11"/>
        <color theme="1"/>
        <rFont val="Calibri Light"/>
        <family val="2"/>
        <charset val="186"/>
        <scheme val="major"/>
      </rPr>
      <t xml:space="preserve"> (</t>
    </r>
    <r>
      <rPr>
        <sz val="11"/>
        <color theme="1"/>
        <rFont val="Calibri Light"/>
        <family val="2"/>
        <charset val="186"/>
      </rPr>
      <t>°C)</t>
    </r>
  </si>
  <si>
    <r>
      <t xml:space="preserve">kasutegur </t>
    </r>
    <r>
      <rPr>
        <i/>
        <sz val="11"/>
        <color theme="1"/>
        <rFont val="Calibri Light"/>
        <family val="2"/>
        <charset val="186"/>
      </rPr>
      <t>η</t>
    </r>
  </si>
  <si>
    <r>
      <t xml:space="preserve">efektiivsus </t>
    </r>
    <r>
      <rPr>
        <i/>
        <sz val="11"/>
        <color theme="1"/>
        <rFont val="Calibri Light"/>
        <family val="2"/>
        <charset val="186"/>
      </rPr>
      <t>ε</t>
    </r>
  </si>
  <si>
    <r>
      <rPr>
        <i/>
        <sz val="11"/>
        <color theme="1"/>
        <rFont val="Calibri Light"/>
        <family val="2"/>
        <charset val="186"/>
        <scheme val="major"/>
      </rPr>
      <t>m</t>
    </r>
    <r>
      <rPr>
        <i/>
        <vertAlign val="subscript"/>
        <sz val="11"/>
        <color theme="1"/>
        <rFont val="Calibri Light"/>
        <family val="2"/>
        <charset val="186"/>
        <scheme val="major"/>
      </rPr>
      <t>H2O</t>
    </r>
    <r>
      <rPr>
        <sz val="11"/>
        <color theme="1"/>
        <rFont val="Calibri Light"/>
        <family val="2"/>
        <charset val="186"/>
        <scheme val="major"/>
      </rPr>
      <t xml:space="preserve"> = 30%</t>
    </r>
  </si>
  <si>
    <r>
      <rPr>
        <i/>
        <sz val="11"/>
        <color theme="1"/>
        <rFont val="Calibri Light"/>
        <family val="2"/>
        <charset val="186"/>
        <scheme val="major"/>
      </rPr>
      <t>m</t>
    </r>
    <r>
      <rPr>
        <i/>
        <vertAlign val="subscript"/>
        <sz val="11"/>
        <color theme="1"/>
        <rFont val="Calibri Light"/>
        <family val="2"/>
        <charset val="186"/>
        <scheme val="major"/>
      </rPr>
      <t>H2O</t>
    </r>
    <r>
      <rPr>
        <sz val="11"/>
        <color theme="1"/>
        <rFont val="Calibri Light"/>
        <family val="2"/>
        <charset val="186"/>
        <scheme val="major"/>
      </rPr>
      <t xml:space="preserve"> = 35%</t>
    </r>
  </si>
  <si>
    <r>
      <rPr>
        <i/>
        <sz val="11"/>
        <color theme="1"/>
        <rFont val="Calibri Light"/>
        <family val="2"/>
        <charset val="186"/>
        <scheme val="major"/>
      </rPr>
      <t>m</t>
    </r>
    <r>
      <rPr>
        <i/>
        <vertAlign val="subscript"/>
        <sz val="11"/>
        <color theme="1"/>
        <rFont val="Calibri Light"/>
        <family val="2"/>
        <charset val="186"/>
        <scheme val="major"/>
      </rPr>
      <t>H2O</t>
    </r>
    <r>
      <rPr>
        <sz val="11"/>
        <color theme="1"/>
        <rFont val="Calibri Light"/>
        <family val="2"/>
        <charset val="186"/>
        <scheme val="major"/>
      </rPr>
      <t xml:space="preserve"> = 40%</t>
    </r>
  </si>
  <si>
    <r>
      <rPr>
        <i/>
        <sz val="11"/>
        <color theme="1"/>
        <rFont val="Calibri Light"/>
        <family val="2"/>
        <charset val="186"/>
        <scheme val="major"/>
      </rPr>
      <t>m</t>
    </r>
    <r>
      <rPr>
        <i/>
        <vertAlign val="subscript"/>
        <sz val="11"/>
        <color theme="1"/>
        <rFont val="Calibri Light"/>
        <family val="2"/>
        <charset val="186"/>
        <scheme val="major"/>
      </rPr>
      <t>H2O</t>
    </r>
    <r>
      <rPr>
        <sz val="11"/>
        <color theme="1"/>
        <rFont val="Calibri Light"/>
        <family val="2"/>
        <charset val="186"/>
        <scheme val="major"/>
      </rPr>
      <t xml:space="preserve"> = 45%</t>
    </r>
  </si>
  <si>
    <r>
      <rPr>
        <i/>
        <sz val="11"/>
        <color theme="1"/>
        <rFont val="Calibri Light"/>
        <family val="2"/>
        <charset val="186"/>
        <scheme val="major"/>
      </rPr>
      <t>m</t>
    </r>
    <r>
      <rPr>
        <i/>
        <vertAlign val="subscript"/>
        <sz val="11"/>
        <color theme="1"/>
        <rFont val="Calibri Light"/>
        <family val="2"/>
        <charset val="186"/>
        <scheme val="major"/>
      </rPr>
      <t>H2O</t>
    </r>
    <r>
      <rPr>
        <sz val="11"/>
        <color theme="1"/>
        <rFont val="Calibri Light"/>
        <family val="2"/>
        <charset val="186"/>
        <scheme val="major"/>
      </rPr>
      <t xml:space="preserve"> = 50%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</si>
</sst>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64" formatCode="0.000"/>
    <numFmt numFmtId="165" formatCode="0.0000"/>
    <numFmt numFmtId="166" formatCode="0.0%"/>
    <numFmt numFmtId="167" formatCode="0.0"/>
    <numFmt numFmtId="168" formatCode="0.00000"/>
    <numFmt numFmtId="169" formatCode="0.000000"/>
    <numFmt numFmtId="170" formatCode="0.0000000"/>
    <numFmt numFmtId="171" formatCode="0.000000000"/>
    <numFmt numFmtId="172" formatCode="0.0000E+00"/>
  </numFmts>
  <fonts count="42" x14ac:knownFonts="1">
    <font>
      <sz val="11"/>
      <color theme="1"/>
      <name val="verdana"/>
      <family val="2"/>
      <charset val="186"/>
    </font>
    <font>
      <sz val="11"/>
      <color theme="1"/>
      <name val="Calibri Light"/>
      <family val="2"/>
      <charset val="186"/>
    </font>
    <font>
      <sz val="11"/>
      <color theme="1"/>
      <name val="Calibri Light"/>
      <family val="2"/>
      <charset val="186"/>
    </font>
    <font>
      <sz val="11"/>
      <color theme="1"/>
      <name val="Calibri Light"/>
      <family val="2"/>
      <charset val="186"/>
    </font>
    <font>
      <sz val="11"/>
      <color theme="1"/>
      <name val="Calibri Light"/>
      <family val="2"/>
      <charset val="186"/>
    </font>
    <font>
      <sz val="11"/>
      <color theme="1"/>
      <name val="Calibri Light"/>
      <family val="2"/>
      <charset val="186"/>
    </font>
    <font>
      <sz val="11"/>
      <color theme="1"/>
      <name val="verdana"/>
      <family val="2"/>
      <charset val="186"/>
    </font>
    <font>
      <sz val="11"/>
      <color theme="1"/>
      <name val="Calibri Light"/>
      <family val="2"/>
      <charset val="186"/>
    </font>
    <font>
      <sz val="11"/>
      <color theme="1"/>
      <name val="Calibri Light"/>
      <family val="2"/>
      <charset val="186"/>
      <scheme val="major"/>
    </font>
    <font>
      <b/>
      <sz val="11"/>
      <color theme="1"/>
      <name val="Calibri Light"/>
      <family val="2"/>
      <charset val="186"/>
      <scheme val="major"/>
    </font>
    <font>
      <sz val="11"/>
      <color theme="1"/>
      <name val="Times New Roman"/>
      <family val="1"/>
      <charset val="186"/>
    </font>
    <font>
      <vertAlign val="subscript"/>
      <sz val="11"/>
      <color theme="1"/>
      <name val="Calibri Light"/>
      <family val="2"/>
      <charset val="186"/>
      <scheme val="major"/>
    </font>
    <font>
      <sz val="11"/>
      <color theme="1"/>
      <name val="Calibri"/>
      <family val="2"/>
      <charset val="186"/>
      <scheme val="minor"/>
    </font>
    <font>
      <sz val="11"/>
      <color theme="0" tint="-0.34998626667073579"/>
      <name val="Calibri Light"/>
      <family val="2"/>
      <charset val="186"/>
      <scheme val="major"/>
    </font>
    <font>
      <sz val="11"/>
      <name val="Calibri Light"/>
      <family val="2"/>
      <charset val="186"/>
      <scheme val="major"/>
    </font>
    <font>
      <vertAlign val="subscript"/>
      <sz val="11"/>
      <name val="Calibri Light"/>
      <family val="2"/>
      <charset val="186"/>
      <scheme val="major"/>
    </font>
    <font>
      <vertAlign val="superscript"/>
      <sz val="11"/>
      <color theme="1"/>
      <name val="Calibri Light"/>
      <family val="2"/>
      <charset val="186"/>
      <scheme val="major"/>
    </font>
    <font>
      <vertAlign val="subscript"/>
      <sz val="11"/>
      <color theme="1"/>
      <name val="Calibri Light"/>
      <family val="2"/>
      <charset val="186"/>
    </font>
    <font>
      <sz val="11"/>
      <color theme="0" tint="-0.499984740745262"/>
      <name val="Calibri Light"/>
      <family val="2"/>
      <charset val="186"/>
      <scheme val="major"/>
    </font>
    <font>
      <i/>
      <sz val="11"/>
      <color theme="1"/>
      <name val="Calibri Light"/>
      <family val="2"/>
      <charset val="186"/>
      <scheme val="major"/>
    </font>
    <font>
      <i/>
      <sz val="11"/>
      <color theme="1"/>
      <name val="Calibri Light"/>
      <family val="2"/>
      <charset val="186"/>
    </font>
    <font>
      <i/>
      <u/>
      <sz val="11"/>
      <color theme="1"/>
      <name val="Calibri Light"/>
      <family val="2"/>
      <charset val="186"/>
      <scheme val="major"/>
    </font>
    <font>
      <i/>
      <sz val="11"/>
      <color theme="0" tint="-0.499984740745262"/>
      <name val="Calibri Light"/>
      <family val="2"/>
      <charset val="186"/>
      <scheme val="major"/>
    </font>
    <font>
      <i/>
      <vertAlign val="subscript"/>
      <sz val="11"/>
      <color theme="1"/>
      <name val="Calibri Light"/>
      <family val="2"/>
      <charset val="186"/>
      <scheme val="major"/>
    </font>
    <font>
      <i/>
      <vertAlign val="subscript"/>
      <sz val="11"/>
      <color theme="1"/>
      <name val="Calibri Light"/>
      <family val="2"/>
      <charset val="186"/>
    </font>
    <font>
      <sz val="10"/>
      <color theme="1"/>
      <name val="Verdana"/>
      <family val="2"/>
      <charset val="186"/>
    </font>
    <font>
      <vertAlign val="subscript"/>
      <sz val="8.8000000000000007"/>
      <color theme="1"/>
      <name val="Calibri Light"/>
      <family val="2"/>
      <charset val="186"/>
    </font>
    <font>
      <b/>
      <sz val="11"/>
      <color theme="1"/>
      <name val="Calibri Light"/>
      <family val="2"/>
      <charset val="186"/>
    </font>
    <font>
      <sz val="9.9"/>
      <color theme="1"/>
      <name val="Calibri Light"/>
      <family val="2"/>
      <charset val="186"/>
    </font>
    <font>
      <i/>
      <vertAlign val="subscript"/>
      <sz val="9.9"/>
      <color theme="1"/>
      <name val="Calibri Light"/>
      <family val="2"/>
      <charset val="186"/>
    </font>
    <font>
      <b/>
      <i/>
      <sz val="11"/>
      <color theme="1"/>
      <name val="Calibri Light"/>
      <family val="2"/>
      <charset val="186"/>
      <scheme val="major"/>
    </font>
    <font>
      <b/>
      <i/>
      <vertAlign val="subscript"/>
      <sz val="11"/>
      <color theme="1"/>
      <name val="Calibri Light"/>
      <family val="2"/>
      <charset val="186"/>
      <scheme val="major"/>
    </font>
    <font>
      <i/>
      <sz val="9.9"/>
      <color theme="1"/>
      <name val="Calibri Light"/>
      <family val="2"/>
      <charset val="186"/>
    </font>
    <font>
      <i/>
      <sz val="11"/>
      <name val="Calibri Light"/>
      <family val="2"/>
      <charset val="186"/>
      <scheme val="major"/>
    </font>
    <font>
      <i/>
      <vertAlign val="subscript"/>
      <sz val="11"/>
      <name val="Calibri Light"/>
      <family val="2"/>
      <charset val="186"/>
      <scheme val="major"/>
    </font>
    <font>
      <b/>
      <i/>
      <sz val="11"/>
      <name val="Calibri Light"/>
      <family val="2"/>
      <charset val="186"/>
      <scheme val="major"/>
    </font>
    <font>
      <b/>
      <i/>
      <vertAlign val="subscript"/>
      <sz val="11"/>
      <name val="Calibri Light"/>
      <family val="2"/>
      <charset val="186"/>
      <scheme val="major"/>
    </font>
    <font>
      <b/>
      <vertAlign val="superscript"/>
      <sz val="11"/>
      <color theme="1"/>
      <name val="Calibri Light"/>
      <family val="2"/>
      <charset val="186"/>
      <scheme val="major"/>
    </font>
    <font>
      <b/>
      <sz val="9.9"/>
      <color theme="1"/>
      <name val="Calibri Light"/>
      <family val="2"/>
      <charset val="186"/>
    </font>
    <font>
      <b/>
      <vertAlign val="subscript"/>
      <sz val="11"/>
      <color theme="1"/>
      <name val="Calibri Light"/>
      <family val="2"/>
      <charset val="186"/>
      <scheme val="major"/>
    </font>
    <font>
      <i/>
      <sz val="11"/>
      <name val="Calibri Light"/>
      <family val="2"/>
      <charset val="186"/>
    </font>
    <font>
      <sz val="11"/>
      <color theme="0" tint="-0.499984740745262"/>
      <name val="Calibri Light"/>
      <family val="2"/>
      <charset val="186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9" fontId="6" fillId="0" borderId="0" applyFont="0" applyFill="0" applyBorder="0" applyAlignment="0" applyProtection="0"/>
    <xf numFmtId="0" fontId="12" fillId="0" borderId="0"/>
    <xf numFmtId="0" fontId="12" fillId="0" borderId="0"/>
  </cellStyleXfs>
  <cellXfs count="217">
    <xf numFmtId="0" fontId="0" fillId="0" borderId="0" xfId="0"/>
    <xf numFmtId="0" fontId="8" fillId="2" borderId="0" xfId="0" applyFont="1" applyFill="1"/>
    <xf numFmtId="0" fontId="8" fillId="2" borderId="2" xfId="0" applyFont="1" applyFill="1" applyBorder="1"/>
    <xf numFmtId="0" fontId="7" fillId="2" borderId="0" xfId="0" applyFont="1" applyFill="1"/>
    <xf numFmtId="0" fontId="8" fillId="2" borderId="1" xfId="0" applyFont="1" applyFill="1" applyBorder="1"/>
    <xf numFmtId="164" fontId="8" fillId="2" borderId="0" xfId="0" applyNumberFormat="1" applyFont="1" applyFill="1"/>
    <xf numFmtId="0" fontId="8" fillId="2" borderId="3" xfId="0" applyFont="1" applyFill="1" applyBorder="1" applyAlignment="1">
      <alignment horizontal="center"/>
    </xf>
    <xf numFmtId="0" fontId="8" fillId="2" borderId="3" xfId="0" applyFont="1" applyFill="1" applyBorder="1"/>
    <xf numFmtId="0" fontId="13" fillId="2" borderId="3" xfId="2" applyFont="1" applyFill="1" applyBorder="1" applyAlignment="1">
      <alignment vertical="top"/>
    </xf>
    <xf numFmtId="0" fontId="13" fillId="2" borderId="3" xfId="3" applyFont="1" applyFill="1" applyBorder="1"/>
    <xf numFmtId="0" fontId="13" fillId="2" borderId="3" xfId="0" applyFont="1" applyFill="1" applyBorder="1"/>
    <xf numFmtId="2" fontId="13" fillId="2" borderId="3" xfId="3" applyNumberFormat="1" applyFont="1" applyFill="1" applyBorder="1"/>
    <xf numFmtId="164" fontId="13" fillId="2" borderId="3" xfId="3" applyNumberFormat="1" applyFont="1" applyFill="1" applyBorder="1"/>
    <xf numFmtId="0" fontId="8" fillId="2" borderId="3" xfId="2" applyFont="1" applyFill="1" applyBorder="1" applyAlignment="1">
      <alignment vertical="top"/>
    </xf>
    <xf numFmtId="2" fontId="8" fillId="2" borderId="3" xfId="3" applyNumberFormat="1" applyFont="1" applyFill="1" applyBorder="1"/>
    <xf numFmtId="0" fontId="8" fillId="2" borderId="3" xfId="3" applyFont="1" applyFill="1" applyBorder="1"/>
    <xf numFmtId="2" fontId="8" fillId="2" borderId="3" xfId="3" applyNumberFormat="1" applyFont="1" applyFill="1" applyBorder="1" applyAlignment="1">
      <alignment vertical="top"/>
    </xf>
    <xf numFmtId="2" fontId="8" fillId="2" borderId="3" xfId="0" applyNumberFormat="1" applyFont="1" applyFill="1" applyBorder="1"/>
    <xf numFmtId="0" fontId="14" fillId="2" borderId="3" xfId="3" applyFont="1" applyFill="1" applyBorder="1" applyAlignment="1">
      <alignment vertical="center" wrapText="1"/>
    </xf>
    <xf numFmtId="0" fontId="8" fillId="0" borderId="0" xfId="0" applyFont="1"/>
    <xf numFmtId="0" fontId="8" fillId="0" borderId="0" xfId="0" applyFont="1" applyFill="1"/>
    <xf numFmtId="2" fontId="8" fillId="0" borderId="0" xfId="0" applyNumberFormat="1" applyFont="1"/>
    <xf numFmtId="9" fontId="8" fillId="2" borderId="0" xfId="1" applyFont="1" applyFill="1"/>
    <xf numFmtId="2" fontId="8" fillId="2" borderId="0" xfId="0" applyNumberFormat="1" applyFont="1" applyFill="1"/>
    <xf numFmtId="165" fontId="8" fillId="2" borderId="0" xfId="0" applyNumberFormat="1" applyFont="1" applyFill="1"/>
    <xf numFmtId="164" fontId="8" fillId="2" borderId="0" xfId="0" applyNumberFormat="1" applyFont="1" applyFill="1" applyAlignment="1"/>
    <xf numFmtId="164" fontId="8" fillId="2" borderId="1" xfId="0" applyNumberFormat="1" applyFont="1" applyFill="1" applyBorder="1"/>
    <xf numFmtId="0" fontId="8" fillId="2" borderId="0" xfId="0" applyFont="1" applyFill="1" applyBorder="1"/>
    <xf numFmtId="10" fontId="8" fillId="2" borderId="0" xfId="1" applyNumberFormat="1" applyFont="1" applyFill="1"/>
    <xf numFmtId="0" fontId="8" fillId="0" borderId="0" xfId="0" applyNumberFormat="1" applyFont="1"/>
    <xf numFmtId="0" fontId="8" fillId="0" borderId="0" xfId="0" applyFont="1" applyAlignment="1">
      <alignment wrapText="1"/>
    </xf>
    <xf numFmtId="0" fontId="8" fillId="0" borderId="3" xfId="0" applyFont="1" applyBorder="1"/>
    <xf numFmtId="0" fontId="8" fillId="4" borderId="3" xfId="0" applyFont="1" applyFill="1" applyBorder="1"/>
    <xf numFmtId="0" fontId="8" fillId="0" borderId="3" xfId="0" applyFont="1" applyBorder="1" applyAlignment="1">
      <alignment wrapText="1"/>
    </xf>
    <xf numFmtId="9" fontId="8" fillId="0" borderId="0" xfId="0" applyNumberFormat="1" applyFont="1"/>
    <xf numFmtId="0" fontId="8" fillId="2" borderId="0" xfId="0" applyFont="1" applyFill="1" applyAlignment="1">
      <alignment horizontal="center"/>
    </xf>
    <xf numFmtId="167" fontId="8" fillId="2" borderId="0" xfId="0" applyNumberFormat="1" applyFont="1" applyFill="1"/>
    <xf numFmtId="167" fontId="8" fillId="2" borderId="3" xfId="0" applyNumberFormat="1" applyFont="1" applyFill="1" applyBorder="1"/>
    <xf numFmtId="0" fontId="8" fillId="0" borderId="0" xfId="0" applyFont="1" applyAlignment="1"/>
    <xf numFmtId="0" fontId="5" fillId="2" borderId="0" xfId="0" applyFont="1" applyFill="1"/>
    <xf numFmtId="3" fontId="8" fillId="2" borderId="0" xfId="0" applyNumberFormat="1" applyFont="1" applyFill="1"/>
    <xf numFmtId="165" fontId="8" fillId="0" borderId="0" xfId="0" applyNumberFormat="1" applyFont="1"/>
    <xf numFmtId="1" fontId="8" fillId="2" borderId="0" xfId="0" applyNumberFormat="1" applyFont="1" applyFill="1"/>
    <xf numFmtId="164" fontId="8" fillId="2" borderId="0" xfId="0" applyNumberFormat="1" applyFont="1" applyFill="1" applyBorder="1"/>
    <xf numFmtId="0" fontId="14" fillId="2" borderId="0" xfId="0" applyFont="1" applyFill="1" applyBorder="1"/>
    <xf numFmtId="2" fontId="14" fillId="2" borderId="0" xfId="0" applyNumberFormat="1" applyFont="1" applyFill="1" applyBorder="1"/>
    <xf numFmtId="164" fontId="14" fillId="2" borderId="0" xfId="0" applyNumberFormat="1" applyFont="1" applyFill="1" applyBorder="1"/>
    <xf numFmtId="2" fontId="8" fillId="2" borderId="2" xfId="0" applyNumberFormat="1" applyFont="1" applyFill="1" applyBorder="1"/>
    <xf numFmtId="11" fontId="8" fillId="2" borderId="0" xfId="0" applyNumberFormat="1" applyFont="1" applyFill="1" applyBorder="1"/>
    <xf numFmtId="164" fontId="8" fillId="2" borderId="2" xfId="0" applyNumberFormat="1" applyFont="1" applyFill="1" applyBorder="1"/>
    <xf numFmtId="2" fontId="8" fillId="2" borderId="0" xfId="0" applyNumberFormat="1" applyFont="1" applyFill="1" applyBorder="1"/>
    <xf numFmtId="164" fontId="8" fillId="0" borderId="0" xfId="0" applyNumberFormat="1" applyFont="1"/>
    <xf numFmtId="168" fontId="8" fillId="0" borderId="0" xfId="0" applyNumberFormat="1" applyFont="1"/>
    <xf numFmtId="164" fontId="8" fillId="4" borderId="3" xfId="0" applyNumberFormat="1" applyFont="1" applyFill="1" applyBorder="1"/>
    <xf numFmtId="164" fontId="8" fillId="4" borderId="3" xfId="1" applyNumberFormat="1" applyFont="1" applyFill="1" applyBorder="1"/>
    <xf numFmtId="9" fontId="8" fillId="0" borderId="0" xfId="1" applyFont="1"/>
    <xf numFmtId="14" fontId="8" fillId="0" borderId="0" xfId="0" applyNumberFormat="1" applyFont="1"/>
    <xf numFmtId="166" fontId="8" fillId="0" borderId="0" xfId="1" applyNumberFormat="1" applyFont="1"/>
    <xf numFmtId="14" fontId="8" fillId="0" borderId="0" xfId="0" applyNumberFormat="1" applyFont="1" applyFill="1" applyBorder="1"/>
    <xf numFmtId="0" fontId="8" fillId="0" borderId="0" xfId="0" applyFont="1" applyFill="1" applyBorder="1"/>
    <xf numFmtId="166" fontId="8" fillId="0" borderId="0" xfId="1" applyNumberFormat="1" applyFont="1" applyFill="1" applyBorder="1"/>
    <xf numFmtId="164" fontId="8" fillId="0" borderId="0" xfId="0" applyNumberFormat="1" applyFont="1" applyFill="1" applyBorder="1"/>
    <xf numFmtId="164" fontId="8" fillId="0" borderId="0" xfId="1" applyNumberFormat="1" applyFont="1"/>
    <xf numFmtId="0" fontId="19" fillId="2" borderId="0" xfId="0" applyFont="1" applyFill="1" applyBorder="1"/>
    <xf numFmtId="0" fontId="20" fillId="2" borderId="0" xfId="0" applyFont="1" applyFill="1" applyBorder="1"/>
    <xf numFmtId="0" fontId="21" fillId="2" borderId="0" xfId="0" applyFont="1" applyFill="1" applyBorder="1"/>
    <xf numFmtId="0" fontId="22" fillId="2" borderId="0" xfId="0" applyFont="1" applyFill="1" applyBorder="1" applyAlignment="1"/>
    <xf numFmtId="0" fontId="19" fillId="2" borderId="0" xfId="0" applyFont="1" applyFill="1"/>
    <xf numFmtId="0" fontId="20" fillId="2" borderId="0" xfId="0" applyFont="1" applyFill="1"/>
    <xf numFmtId="10" fontId="8" fillId="0" borderId="0" xfId="1" applyNumberFormat="1" applyFont="1"/>
    <xf numFmtId="10" fontId="8" fillId="0" borderId="0" xfId="0" applyNumberFormat="1" applyFont="1"/>
    <xf numFmtId="2" fontId="8" fillId="0" borderId="0" xfId="1" applyNumberFormat="1" applyFont="1"/>
    <xf numFmtId="168" fontId="8" fillId="2" borderId="0" xfId="0" applyNumberFormat="1" applyFont="1" applyFill="1"/>
    <xf numFmtId="169" fontId="8" fillId="0" borderId="0" xfId="0" applyNumberFormat="1" applyFont="1"/>
    <xf numFmtId="170" fontId="8" fillId="2" borderId="0" xfId="0" applyNumberFormat="1" applyFont="1" applyFill="1"/>
    <xf numFmtId="164" fontId="8" fillId="2" borderId="3" xfId="0" applyNumberFormat="1" applyFont="1" applyFill="1" applyBorder="1"/>
    <xf numFmtId="0" fontId="4" fillId="2" borderId="0" xfId="0" applyFont="1" applyFill="1" applyBorder="1"/>
    <xf numFmtId="164" fontId="8" fillId="0" borderId="0" xfId="0" applyNumberFormat="1" applyFont="1" applyBorder="1"/>
    <xf numFmtId="168" fontId="14" fillId="0" borderId="0" xfId="0" applyNumberFormat="1" applyFont="1" applyFill="1"/>
    <xf numFmtId="165" fontId="14" fillId="0" borderId="0" xfId="0" applyNumberFormat="1" applyFont="1" applyFill="1"/>
    <xf numFmtId="168" fontId="14" fillId="0" borderId="0" xfId="0" applyNumberFormat="1" applyFont="1"/>
    <xf numFmtId="0" fontId="14" fillId="0" borderId="0" xfId="0" applyFont="1"/>
    <xf numFmtId="165" fontId="14" fillId="0" borderId="0" xfId="0" applyNumberFormat="1" applyFont="1"/>
    <xf numFmtId="0" fontId="8" fillId="0" borderId="0" xfId="0" applyFont="1" applyBorder="1"/>
    <xf numFmtId="164" fontId="8" fillId="0" borderId="0" xfId="0" applyNumberFormat="1" applyFont="1" applyBorder="1" applyAlignment="1">
      <alignment horizontal="right" vertical="center" wrapText="1"/>
    </xf>
    <xf numFmtId="1" fontId="8" fillId="0" borderId="0" xfId="0" applyNumberFormat="1" applyFont="1"/>
    <xf numFmtId="0" fontId="8" fillId="2" borderId="0" xfId="0" applyFont="1" applyFill="1" applyAlignment="1">
      <alignment wrapText="1"/>
    </xf>
    <xf numFmtId="164" fontId="8" fillId="2" borderId="0" xfId="0" applyNumberFormat="1" applyFont="1" applyFill="1" applyBorder="1" applyAlignment="1"/>
    <xf numFmtId="1" fontId="8" fillId="2" borderId="0" xfId="0" applyNumberFormat="1" applyFont="1" applyFill="1" applyBorder="1"/>
    <xf numFmtId="0" fontId="8" fillId="2" borderId="0" xfId="0" applyNumberFormat="1" applyFont="1" applyFill="1" applyBorder="1"/>
    <xf numFmtId="165" fontId="8" fillId="2" borderId="0" xfId="0" applyNumberFormat="1" applyFont="1" applyFill="1" applyBorder="1"/>
    <xf numFmtId="164" fontId="8" fillId="2" borderId="0" xfId="1" applyNumberFormat="1" applyFont="1" applyFill="1" applyBorder="1"/>
    <xf numFmtId="0" fontId="9" fillId="2" borderId="2" xfId="0" applyFont="1" applyFill="1" applyBorder="1"/>
    <xf numFmtId="2" fontId="9" fillId="2" borderId="2" xfId="0" applyNumberFormat="1" applyFont="1" applyFill="1" applyBorder="1"/>
    <xf numFmtId="0" fontId="25" fillId="0" borderId="0" xfId="0" applyFont="1" applyBorder="1" applyAlignment="1">
      <alignment horizontal="justify" vertical="center" wrapText="1"/>
    </xf>
    <xf numFmtId="165" fontId="8" fillId="0" borderId="0" xfId="0" applyNumberFormat="1" applyFont="1" applyBorder="1"/>
    <xf numFmtId="0" fontId="8" fillId="2" borderId="6" xfId="0" applyFont="1" applyFill="1" applyBorder="1"/>
    <xf numFmtId="164" fontId="9" fillId="2" borderId="2" xfId="0" applyNumberFormat="1" applyFont="1" applyFill="1" applyBorder="1"/>
    <xf numFmtId="0" fontId="9" fillId="2" borderId="0" xfId="0" applyFont="1" applyFill="1"/>
    <xf numFmtId="164" fontId="9" fillId="2" borderId="0" xfId="0" applyNumberFormat="1" applyFont="1" applyFill="1"/>
    <xf numFmtId="0" fontId="8" fillId="2" borderId="0" xfId="0" applyFont="1" applyFill="1" applyBorder="1" applyAlignment="1"/>
    <xf numFmtId="167" fontId="8" fillId="2" borderId="0" xfId="0" applyNumberFormat="1" applyFont="1" applyFill="1" applyBorder="1"/>
    <xf numFmtId="168" fontId="8" fillId="2" borderId="0" xfId="0" applyNumberFormat="1" applyFont="1" applyFill="1" applyBorder="1"/>
    <xf numFmtId="0" fontId="2" fillId="2" borderId="0" xfId="0" applyFont="1" applyFill="1" applyBorder="1"/>
    <xf numFmtId="0" fontId="2" fillId="2" borderId="1" xfId="0" applyFont="1" applyFill="1" applyBorder="1"/>
    <xf numFmtId="0" fontId="8" fillId="2" borderId="0" xfId="0" applyFont="1" applyFill="1" applyBorder="1" applyAlignment="1">
      <alignment horizontal="right"/>
    </xf>
    <xf numFmtId="167" fontId="8" fillId="2" borderId="1" xfId="0" applyNumberFormat="1" applyFont="1" applyFill="1" applyBorder="1"/>
    <xf numFmtId="171" fontId="8" fillId="0" borderId="0" xfId="0" applyNumberFormat="1" applyFont="1"/>
    <xf numFmtId="0" fontId="19" fillId="2" borderId="0" xfId="0" applyFont="1" applyFill="1" applyBorder="1" applyAlignment="1">
      <alignment horizontal="left"/>
    </xf>
    <xf numFmtId="11" fontId="8" fillId="0" borderId="0" xfId="0" applyNumberFormat="1" applyFont="1"/>
    <xf numFmtId="172" fontId="8" fillId="0" borderId="0" xfId="0" applyNumberFormat="1" applyFont="1"/>
    <xf numFmtId="0" fontId="3" fillId="2" borderId="1" xfId="0" applyFont="1" applyFill="1" applyBorder="1"/>
    <xf numFmtId="164" fontId="9" fillId="0" borderId="0" xfId="0" applyNumberFormat="1" applyFont="1"/>
    <xf numFmtId="2" fontId="8" fillId="2" borderId="0" xfId="0" applyNumberFormat="1" applyFont="1" applyFill="1" applyBorder="1" applyAlignment="1">
      <alignment horizontal="right"/>
    </xf>
    <xf numFmtId="0" fontId="35" fillId="2" borderId="2" xfId="0" applyFont="1" applyFill="1" applyBorder="1"/>
    <xf numFmtId="0" fontId="14" fillId="0" borderId="0" xfId="0" applyFont="1" applyFill="1"/>
    <xf numFmtId="0" fontId="30" fillId="2" borderId="2" xfId="0" applyFont="1" applyFill="1" applyBorder="1"/>
    <xf numFmtId="0" fontId="9" fillId="2" borderId="1" xfId="0" applyFont="1" applyFill="1" applyBorder="1"/>
    <xf numFmtId="164" fontId="9" fillId="2" borderId="1" xfId="0" applyNumberFormat="1" applyFont="1" applyFill="1" applyBorder="1"/>
    <xf numFmtId="0" fontId="9" fillId="2" borderId="0" xfId="0" applyFont="1" applyFill="1" applyBorder="1"/>
    <xf numFmtId="1" fontId="14" fillId="2" borderId="0" xfId="0" applyNumberFormat="1" applyFont="1" applyFill="1" applyBorder="1"/>
    <xf numFmtId="165" fontId="8" fillId="2" borderId="1" xfId="0" applyNumberFormat="1" applyFont="1" applyFill="1" applyBorder="1"/>
    <xf numFmtId="11" fontId="14" fillId="2" borderId="0" xfId="0" applyNumberFormat="1" applyFont="1" applyFill="1" applyBorder="1"/>
    <xf numFmtId="165" fontId="18" fillId="2" borderId="0" xfId="0" applyNumberFormat="1" applyFont="1" applyFill="1" applyBorder="1"/>
    <xf numFmtId="0" fontId="18" fillId="2" borderId="0" xfId="0" applyFont="1" applyFill="1"/>
    <xf numFmtId="165" fontId="18" fillId="2" borderId="0" xfId="0" applyNumberFormat="1" applyFont="1" applyFill="1"/>
    <xf numFmtId="0" fontId="18" fillId="2" borderId="0" xfId="0" applyFont="1" applyFill="1" applyBorder="1"/>
    <xf numFmtId="0" fontId="8" fillId="2" borderId="0" xfId="0" applyFont="1" applyFill="1" applyAlignment="1"/>
    <xf numFmtId="166" fontId="8" fillId="2" borderId="0" xfId="1" applyNumberFormat="1" applyFont="1" applyFill="1"/>
    <xf numFmtId="165" fontId="8" fillId="2" borderId="2" xfId="0" applyNumberFormat="1" applyFont="1" applyFill="1" applyBorder="1"/>
    <xf numFmtId="0" fontId="41" fillId="2" borderId="0" xfId="0" applyFont="1" applyFill="1" applyBorder="1"/>
    <xf numFmtId="165" fontId="9" fillId="2" borderId="1" xfId="0" applyNumberFormat="1" applyFont="1" applyFill="1" applyBorder="1"/>
    <xf numFmtId="0" fontId="20" fillId="2" borderId="1" xfId="0" applyFont="1" applyFill="1" applyBorder="1"/>
    <xf numFmtId="0" fontId="20" fillId="2" borderId="2" xfId="0" applyFont="1" applyFill="1" applyBorder="1"/>
    <xf numFmtId="0" fontId="19" fillId="2" borderId="2" xfId="0" applyFont="1" applyFill="1" applyBorder="1"/>
    <xf numFmtId="168" fontId="8" fillId="2" borderId="2" xfId="0" applyNumberFormat="1" applyFont="1" applyFill="1" applyBorder="1"/>
    <xf numFmtId="0" fontId="19" fillId="2" borderId="1" xfId="0" applyFont="1" applyFill="1" applyBorder="1"/>
    <xf numFmtId="0" fontId="8" fillId="0" borderId="0" xfId="0" applyNumberFormat="1" applyFont="1" applyBorder="1"/>
    <xf numFmtId="2" fontId="8" fillId="0" borderId="0" xfId="0" applyNumberFormat="1" applyFont="1" applyBorder="1"/>
    <xf numFmtId="1" fontId="8" fillId="0" borderId="0" xfId="0" applyNumberFormat="1" applyFont="1" applyBorder="1"/>
    <xf numFmtId="2" fontId="8" fillId="0" borderId="0" xfId="0" applyNumberFormat="1" applyFont="1" applyFill="1" applyBorder="1"/>
    <xf numFmtId="164" fontId="19" fillId="0" borderId="0" xfId="0" applyNumberFormat="1" applyFont="1"/>
    <xf numFmtId="167" fontId="8" fillId="0" borderId="0" xfId="0" applyNumberFormat="1" applyFont="1"/>
    <xf numFmtId="0" fontId="8" fillId="0" borderId="0" xfId="0" applyFont="1" applyAlignment="1">
      <alignment horizontal="center"/>
    </xf>
    <xf numFmtId="0" fontId="8" fillId="0" borderId="0" xfId="0" applyFont="1" applyFill="1" applyBorder="1" applyAlignment="1">
      <alignment horizontal="center"/>
    </xf>
    <xf numFmtId="164" fontId="8" fillId="2" borderId="0" xfId="0" applyNumberFormat="1" applyFont="1" applyFill="1" applyBorder="1" applyAlignment="1">
      <alignment horizontal="center"/>
    </xf>
    <xf numFmtId="9" fontId="8" fillId="3" borderId="3" xfId="1" applyNumberFormat="1" applyFont="1" applyFill="1" applyBorder="1"/>
    <xf numFmtId="167" fontId="8" fillId="0" borderId="0" xfId="0" applyNumberFormat="1" applyFont="1" applyFill="1" applyBorder="1"/>
    <xf numFmtId="166" fontId="8" fillId="0" borderId="0" xfId="0" applyNumberFormat="1" applyFont="1" applyFill="1" applyBorder="1"/>
    <xf numFmtId="0" fontId="8" fillId="0" borderId="0" xfId="0" applyNumberFormat="1" applyFont="1" applyFill="1" applyBorder="1"/>
    <xf numFmtId="9" fontId="8" fillId="0" borderId="0" xfId="0" applyNumberFormat="1" applyFont="1" applyFill="1" applyBorder="1"/>
    <xf numFmtId="164" fontId="8" fillId="0" borderId="0" xfId="1" applyNumberFormat="1" applyFont="1" applyFill="1" applyBorder="1"/>
    <xf numFmtId="165" fontId="8" fillId="0" borderId="0" xfId="0" applyNumberFormat="1" applyFont="1" applyFill="1" applyBorder="1"/>
    <xf numFmtId="164" fontId="9" fillId="0" borderId="0" xfId="0" applyNumberFormat="1" applyFont="1" applyFill="1" applyBorder="1"/>
    <xf numFmtId="0" fontId="8" fillId="0" borderId="0" xfId="0" applyFont="1" applyFill="1" applyBorder="1" applyAlignment="1"/>
    <xf numFmtId="16" fontId="8" fillId="0" borderId="0" xfId="0" applyNumberFormat="1" applyFont="1"/>
    <xf numFmtId="2" fontId="8" fillId="0" borderId="0" xfId="0" applyNumberFormat="1" applyFont="1" applyFill="1" applyBorder="1" applyAlignment="1">
      <alignment horizontal="right"/>
    </xf>
    <xf numFmtId="0" fontId="8" fillId="0" borderId="0" xfId="0" applyFont="1" applyFill="1" applyBorder="1" applyAlignment="1">
      <alignment horizontal="right"/>
    </xf>
    <xf numFmtId="0" fontId="9" fillId="0" borderId="0" xfId="0" applyFont="1" applyFill="1" applyBorder="1"/>
    <xf numFmtId="14" fontId="8" fillId="0" borderId="0" xfId="0" applyNumberFormat="1" applyFont="1" applyFill="1" applyBorder="1" applyAlignment="1"/>
    <xf numFmtId="166" fontId="9" fillId="0" borderId="0" xfId="1" applyNumberFormat="1" applyFont="1" applyFill="1" applyBorder="1"/>
    <xf numFmtId="164" fontId="9" fillId="0" borderId="0" xfId="1" applyNumberFormat="1" applyFont="1" applyFill="1" applyBorder="1"/>
    <xf numFmtId="166" fontId="9" fillId="0" borderId="0" xfId="1" applyNumberFormat="1" applyFont="1"/>
    <xf numFmtId="167" fontId="14" fillId="2" borderId="0" xfId="0" applyNumberFormat="1" applyFont="1" applyFill="1" applyBorder="1"/>
    <xf numFmtId="2" fontId="8" fillId="2" borderId="1" xfId="0" applyNumberFormat="1" applyFont="1" applyFill="1" applyBorder="1"/>
    <xf numFmtId="169" fontId="8" fillId="2" borderId="0" xfId="0" applyNumberFormat="1" applyFont="1" applyFill="1"/>
    <xf numFmtId="0" fontId="8" fillId="2" borderId="0" xfId="0" applyFont="1" applyFill="1" applyBorder="1" applyAlignment="1">
      <alignment horizontal="left"/>
    </xf>
    <xf numFmtId="164" fontId="8" fillId="2" borderId="0" xfId="0" applyNumberFormat="1" applyFont="1" applyFill="1" applyBorder="1" applyAlignment="1">
      <alignment horizontal="left"/>
    </xf>
    <xf numFmtId="2" fontId="9" fillId="2" borderId="0" xfId="0" applyNumberFormat="1" applyFont="1" applyFill="1"/>
    <xf numFmtId="164" fontId="8" fillId="0" borderId="0" xfId="0" applyNumberFormat="1" applyFont="1" applyFill="1"/>
    <xf numFmtId="0" fontId="8" fillId="2" borderId="7" xfId="0" applyFont="1" applyFill="1" applyBorder="1"/>
    <xf numFmtId="0" fontId="8" fillId="2" borderId="8" xfId="0" applyFont="1" applyFill="1" applyBorder="1"/>
    <xf numFmtId="9" fontId="8" fillId="2" borderId="0" xfId="0" applyNumberFormat="1" applyFont="1" applyFill="1"/>
    <xf numFmtId="9" fontId="8" fillId="2" borderId="9" xfId="1" applyFont="1" applyFill="1" applyBorder="1"/>
    <xf numFmtId="164" fontId="9" fillId="2" borderId="0" xfId="0" applyNumberFormat="1" applyFont="1" applyFill="1" applyBorder="1"/>
    <xf numFmtId="164" fontId="2" fillId="2" borderId="0" xfId="0" applyNumberFormat="1" applyFont="1" applyFill="1" applyBorder="1"/>
    <xf numFmtId="9" fontId="8" fillId="2" borderId="0" xfId="0" applyNumberFormat="1" applyFont="1" applyFill="1" applyBorder="1"/>
    <xf numFmtId="9" fontId="14" fillId="2" borderId="7" xfId="1" applyFont="1" applyFill="1" applyBorder="1"/>
    <xf numFmtId="9" fontId="13" fillId="2" borderId="7" xfId="1" applyFont="1" applyFill="1" applyBorder="1"/>
    <xf numFmtId="9" fontId="13" fillId="2" borderId="8" xfId="1" applyFont="1" applyFill="1" applyBorder="1"/>
    <xf numFmtId="1" fontId="2" fillId="2" borderId="0" xfId="0" applyNumberFormat="1" applyFont="1" applyFill="1" applyBorder="1"/>
    <xf numFmtId="9" fontId="14" fillId="2" borderId="9" xfId="1" applyFont="1" applyFill="1" applyBorder="1"/>
    <xf numFmtId="9" fontId="14" fillId="2" borderId="7" xfId="1" applyNumberFormat="1" applyFont="1" applyFill="1" applyBorder="1"/>
    <xf numFmtId="10" fontId="8" fillId="2" borderId="0" xfId="0" applyNumberFormat="1" applyFont="1" applyFill="1"/>
    <xf numFmtId="9" fontId="14" fillId="2" borderId="9" xfId="1" applyNumberFormat="1" applyFont="1" applyFill="1" applyBorder="1"/>
    <xf numFmtId="166" fontId="8" fillId="0" borderId="0" xfId="0" applyNumberFormat="1" applyFont="1"/>
    <xf numFmtId="164" fontId="8" fillId="0" borderId="0" xfId="0" applyNumberFormat="1" applyFont="1" applyFill="1" applyBorder="1" applyAlignment="1"/>
    <xf numFmtId="164" fontId="8" fillId="0" borderId="0" xfId="1" applyNumberFormat="1" applyFont="1" applyFill="1" applyBorder="1" applyAlignment="1">
      <alignment horizontal="right"/>
    </xf>
    <xf numFmtId="164" fontId="8" fillId="0" borderId="0" xfId="0" applyNumberFormat="1" applyFont="1" applyFill="1" applyBorder="1" applyAlignment="1">
      <alignment horizontal="right"/>
    </xf>
    <xf numFmtId="0" fontId="8" fillId="2" borderId="3" xfId="0" applyFont="1" applyFill="1" applyBorder="1" applyAlignment="1"/>
    <xf numFmtId="167" fontId="8" fillId="2" borderId="0" xfId="0" applyNumberFormat="1" applyFont="1" applyFill="1" applyBorder="1" applyAlignment="1"/>
    <xf numFmtId="164" fontId="8" fillId="2" borderId="0" xfId="0" applyNumberFormat="1" applyFont="1" applyFill="1" applyBorder="1" applyAlignment="1">
      <alignment horizontal="center"/>
    </xf>
    <xf numFmtId="166" fontId="8" fillId="2" borderId="0" xfId="1" applyNumberFormat="1" applyFont="1" applyFill="1" applyBorder="1" applyAlignment="1">
      <alignment horizontal="center"/>
    </xf>
    <xf numFmtId="9" fontId="8" fillId="2" borderId="0" xfId="1" applyFont="1" applyFill="1" applyBorder="1" applyAlignment="1">
      <alignment horizontal="center"/>
    </xf>
    <xf numFmtId="164" fontId="8" fillId="2" borderId="0" xfId="0" applyNumberFormat="1" applyFont="1" applyFill="1" applyAlignment="1">
      <alignment horizontal="center"/>
    </xf>
    <xf numFmtId="0" fontId="8" fillId="2" borderId="0" xfId="0" applyFont="1" applyFill="1" applyBorder="1" applyAlignment="1">
      <alignment horizontal="center"/>
    </xf>
    <xf numFmtId="164" fontId="8" fillId="2" borderId="4" xfId="0" applyNumberFormat="1" applyFont="1" applyFill="1" applyBorder="1" applyAlignment="1">
      <alignment horizontal="center"/>
    </xf>
    <xf numFmtId="164" fontId="8" fillId="2" borderId="2" xfId="0" applyNumberFormat="1" applyFont="1" applyFill="1" applyBorder="1" applyAlignment="1">
      <alignment horizontal="center"/>
    </xf>
    <xf numFmtId="164" fontId="8" fillId="2" borderId="5" xfId="0" applyNumberFormat="1" applyFont="1" applyFill="1" applyBorder="1" applyAlignment="1">
      <alignment horizontal="center"/>
    </xf>
    <xf numFmtId="166" fontId="8" fillId="2" borderId="4" xfId="1" applyNumberFormat="1" applyFont="1" applyFill="1" applyBorder="1" applyAlignment="1">
      <alignment horizontal="center"/>
    </xf>
    <xf numFmtId="166" fontId="8" fillId="2" borderId="5" xfId="1" applyNumberFormat="1" applyFont="1" applyFill="1" applyBorder="1" applyAlignment="1">
      <alignment horizontal="center"/>
    </xf>
    <xf numFmtId="164" fontId="8" fillId="2" borderId="3" xfId="0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165" fontId="8" fillId="2" borderId="3" xfId="0" applyNumberFormat="1" applyFont="1" applyFill="1" applyBorder="1" applyAlignment="1">
      <alignment horizontal="center"/>
    </xf>
    <xf numFmtId="0" fontId="8" fillId="2" borderId="4" xfId="2" applyFont="1" applyFill="1" applyBorder="1" applyAlignment="1">
      <alignment horizontal="left" vertical="top"/>
    </xf>
    <xf numFmtId="0" fontId="8" fillId="2" borderId="5" xfId="2" applyFont="1" applyFill="1" applyBorder="1" applyAlignment="1">
      <alignment horizontal="left" vertical="top"/>
    </xf>
    <xf numFmtId="0" fontId="8" fillId="2" borderId="4" xfId="0" applyFont="1" applyFill="1" applyBorder="1" applyAlignment="1">
      <alignment horizontal="left"/>
    </xf>
    <xf numFmtId="0" fontId="8" fillId="2" borderId="5" xfId="0" applyFont="1" applyFill="1" applyBorder="1" applyAlignment="1">
      <alignment horizontal="left"/>
    </xf>
    <xf numFmtId="0" fontId="9" fillId="2" borderId="1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wrapText="1"/>
    </xf>
    <xf numFmtId="0" fontId="8" fillId="0" borderId="0" xfId="0" applyFont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22" fillId="2" borderId="0" xfId="0" applyFont="1" applyFill="1" applyBorder="1" applyAlignment="1">
      <alignment horizontal="right"/>
    </xf>
  </cellXfs>
  <cellStyles count="4">
    <cellStyle name="Normal" xfId="0" builtinId="0"/>
    <cellStyle name="Normal 2" xfId="3"/>
    <cellStyle name="Normal 3" xfId="2"/>
    <cellStyle name="Percent" xfId="1" builtinId="5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  <numFmt numFmtId="13" formatCode="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  <numFmt numFmtId="164" formatCode="0.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  <numFmt numFmtId="164" formatCode="0.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  <numFmt numFmtId="164" formatCode="0.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  <numFmt numFmtId="19" formatCode="dd/mm/yyyy"/>
    </dxf>
    <dxf>
      <font>
        <strike val="0"/>
        <outline val="0"/>
        <shadow val="0"/>
        <u val="none"/>
        <sz val="11"/>
        <color theme="1"/>
        <name val="Calibri Light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288937197457062"/>
          <c:y val="0.14393518518518519"/>
          <c:w val="0.63044214978745639"/>
          <c:h val="0.56412766112569257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'DIN EN 12952-15'!$B$35</c:f>
              <c:strCache>
                <c:ptCount val="1"/>
                <c:pt idx="0">
                  <c:v>DIN EN 12952-15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'DIN EN 12952-15'!$C$33:$G$33</c:f>
              <c:strCache>
                <c:ptCount val="5"/>
                <c:pt idx="0">
                  <c:v>Kuivad suitsugaasid</c:v>
                </c:pt>
                <c:pt idx="1">
                  <c:v>Veeauru kogus suitsugaasides</c:v>
                </c:pt>
                <c:pt idx="2">
                  <c:v>Suitsugaaside CO2 sisaldus</c:v>
                </c:pt>
                <c:pt idx="3">
                  <c:v>Põlemisõhu kogus</c:v>
                </c:pt>
                <c:pt idx="4">
                  <c:v>Suitsugaasid kokku </c:v>
                </c:pt>
              </c:strCache>
            </c:strRef>
          </c:cat>
          <c:val>
            <c:numRef>
              <c:f>'DIN EN 12952-15'!$C$35:$G$35</c:f>
              <c:numCache>
                <c:formatCode>0.0</c:formatCode>
                <c:ptCount val="5"/>
                <c:pt idx="0">
                  <c:v>3.7428094980001152</c:v>
                </c:pt>
                <c:pt idx="1">
                  <c:v>0.75180556565714496</c:v>
                </c:pt>
                <c:pt idx="2">
                  <c:v>1.0725152935062028</c:v>
                </c:pt>
                <c:pt idx="3">
                  <c:v>3.7561057414781622</c:v>
                </c:pt>
                <c:pt idx="4">
                  <c:v>4.4946150636572604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0FC-4076-BE01-DEE11011DE67}"/>
            </c:ext>
          </c:extLst>
        </c:ser>
        <c:ser>
          <c:idx val="0"/>
          <c:order val="1"/>
          <c:tx>
            <c:strRef>
              <c:f>'DIN EN 12952-15'!$B$34</c:f>
              <c:strCache>
                <c:ptCount val="1"/>
                <c:pt idx="0">
                  <c:v>Stöhhiomeetriline meetod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'DIN EN 12952-15'!$C$33:$G$33</c:f>
              <c:strCache>
                <c:ptCount val="5"/>
                <c:pt idx="0">
                  <c:v>Kuivad suitsugaasid</c:v>
                </c:pt>
                <c:pt idx="1">
                  <c:v>Veeauru kogus suitsugaasides</c:v>
                </c:pt>
                <c:pt idx="2">
                  <c:v>Suitsugaaside CO2 sisaldus</c:v>
                </c:pt>
                <c:pt idx="3">
                  <c:v>Põlemisõhu kogus</c:v>
                </c:pt>
                <c:pt idx="4">
                  <c:v>Suitsugaasid kokku </c:v>
                </c:pt>
              </c:strCache>
            </c:strRef>
          </c:cat>
          <c:val>
            <c:numRef>
              <c:f>'DIN EN 12952-15'!$C$34:$G$34</c:f>
              <c:numCache>
                <c:formatCode>0.0</c:formatCode>
                <c:ptCount val="5"/>
                <c:pt idx="0">
                  <c:v>4.0021868801449578</c:v>
                </c:pt>
                <c:pt idx="1">
                  <c:v>0.77826476656362509</c:v>
                </c:pt>
                <c:pt idx="2">
                  <c:v>1.0674097852260163</c:v>
                </c:pt>
                <c:pt idx="3">
                  <c:v>3.7900246836870806</c:v>
                </c:pt>
                <c:pt idx="4">
                  <c:v>4.7804516467085829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FC-4076-BE01-DEE11011DE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896191520"/>
        <c:axId val="1896197344"/>
      </c:barChart>
      <c:catAx>
        <c:axId val="1896191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t-EE"/>
          </a:p>
        </c:txPr>
        <c:crossAx val="1896197344"/>
        <c:crosses val="autoZero"/>
        <c:auto val="1"/>
        <c:lblAlgn val="ctr"/>
        <c:lblOffset val="100"/>
        <c:noMultiLvlLbl val="0"/>
      </c:catAx>
      <c:valAx>
        <c:axId val="18961973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t-EE"/>
                  <a:t>Komponendi</a:t>
                </a:r>
                <a:r>
                  <a:rPr lang="et-EE" baseline="0"/>
                  <a:t> sisaldus suitsugaasis </a:t>
                </a:r>
                <a:r>
                  <a:rPr lang="et-EE" i="0" baseline="0"/>
                  <a:t>kg/kg</a:t>
                </a:r>
                <a:endParaRPr lang="et-EE"/>
              </a:p>
            </c:rich>
          </c:tx>
          <c:layout>
            <c:manualLayout>
              <c:xMode val="edge"/>
              <c:yMode val="edge"/>
              <c:x val="1.9964358387785798E-2"/>
              <c:y val="4.6712962962962977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t-EE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t-EE"/>
          </a:p>
        </c:txPr>
        <c:crossAx val="18961915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5722416720381858"/>
          <c:y val="0.15221443210009708"/>
          <c:w val="0.24063565088071856"/>
          <c:h val="0.1541106676733901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t-E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t-EE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t-EE">
                <a:latin typeface="+mj-lt"/>
              </a:rPr>
              <a:t>t vahemik 65...80 </a:t>
            </a:r>
            <a:r>
              <a:rPr lang="et-EE">
                <a:latin typeface="+mj-lt"/>
                <a:cs typeface="Calibri Light" panose="020F0302020204030204" pitchFamily="34" charset="0"/>
              </a:rPr>
              <a:t>°C, x 0,204...0,547</a:t>
            </a:r>
            <a:endParaRPr lang="et-EE">
              <a:latin typeface="+mj-lt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t-E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poly"/>
            <c:order val="2"/>
            <c:dispRSqr val="0"/>
            <c:dispEq val="1"/>
            <c:trendlineLbl>
              <c:layout>
                <c:manualLayout>
                  <c:x val="-0.34348162729658793"/>
                  <c:y val="-3.5968212306794985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t-EE"/>
                </a:p>
              </c:txPr>
            </c:trendlineLbl>
          </c:trendline>
          <c:xVal>
            <c:numRef>
              <c:f>psühromeetria!$C$32:$C$47</c:f>
              <c:numCache>
                <c:formatCode>General</c:formatCode>
                <c:ptCount val="16"/>
                <c:pt idx="0">
                  <c:v>0.54700000000000004</c:v>
                </c:pt>
                <c:pt idx="1">
                  <c:v>0.50700000000000001</c:v>
                </c:pt>
                <c:pt idx="2">
                  <c:v>0.47199999999999998</c:v>
                </c:pt>
                <c:pt idx="3">
                  <c:v>0.439</c:v>
                </c:pt>
                <c:pt idx="4">
                  <c:v>0.41</c:v>
                </c:pt>
                <c:pt idx="5">
                  <c:v>0.38300000000000001</c:v>
                </c:pt>
                <c:pt idx="6">
                  <c:v>0.35799999999999998</c:v>
                </c:pt>
                <c:pt idx="7">
                  <c:v>0.33500000000000002</c:v>
                </c:pt>
                <c:pt idx="8">
                  <c:v>0.314</c:v>
                </c:pt>
                <c:pt idx="9">
                  <c:v>0.29499999999999998</c:v>
                </c:pt>
                <c:pt idx="10">
                  <c:v>0.27700000000000002</c:v>
                </c:pt>
                <c:pt idx="11">
                  <c:v>0.26</c:v>
                </c:pt>
                <c:pt idx="12">
                  <c:v>0.245</c:v>
                </c:pt>
                <c:pt idx="13">
                  <c:v>0.23</c:v>
                </c:pt>
                <c:pt idx="14">
                  <c:v>0.217</c:v>
                </c:pt>
                <c:pt idx="15">
                  <c:v>0.20399999999999999</c:v>
                </c:pt>
              </c:numCache>
            </c:numRef>
          </c:xVal>
          <c:yVal>
            <c:numRef>
              <c:f>psühromeetria!$D$32:$D$47</c:f>
              <c:numCache>
                <c:formatCode>General</c:formatCode>
                <c:ptCount val="16"/>
                <c:pt idx="0">
                  <c:v>80</c:v>
                </c:pt>
                <c:pt idx="1">
                  <c:v>79</c:v>
                </c:pt>
                <c:pt idx="2">
                  <c:v>78</c:v>
                </c:pt>
                <c:pt idx="3">
                  <c:v>77</c:v>
                </c:pt>
                <c:pt idx="4">
                  <c:v>76</c:v>
                </c:pt>
                <c:pt idx="5">
                  <c:v>75</c:v>
                </c:pt>
                <c:pt idx="6">
                  <c:v>74</c:v>
                </c:pt>
                <c:pt idx="7">
                  <c:v>73</c:v>
                </c:pt>
                <c:pt idx="8">
                  <c:v>72</c:v>
                </c:pt>
                <c:pt idx="9">
                  <c:v>71</c:v>
                </c:pt>
                <c:pt idx="10">
                  <c:v>70</c:v>
                </c:pt>
                <c:pt idx="11">
                  <c:v>69</c:v>
                </c:pt>
                <c:pt idx="12">
                  <c:v>68</c:v>
                </c:pt>
                <c:pt idx="13">
                  <c:v>67</c:v>
                </c:pt>
                <c:pt idx="14">
                  <c:v>66</c:v>
                </c:pt>
                <c:pt idx="15">
                  <c:v>65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7B9-4E2F-9025-CCC68650C1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11848319"/>
        <c:axId val="1011836671"/>
      </c:scatterChart>
      <c:valAx>
        <c:axId val="101184831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t-EE"/>
          </a:p>
        </c:txPr>
        <c:crossAx val="1011836671"/>
        <c:crosses val="autoZero"/>
        <c:crossBetween val="midCat"/>
      </c:valAx>
      <c:valAx>
        <c:axId val="101183667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t-EE"/>
          </a:p>
        </c:txPr>
        <c:crossAx val="101184831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t-EE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t-EE">
                <a:latin typeface="+mj-lt"/>
              </a:rPr>
              <a:t>t</a:t>
            </a:r>
            <a:r>
              <a:rPr lang="et-EE" baseline="0">
                <a:latin typeface="+mj-lt"/>
              </a:rPr>
              <a:t> vahemik 40...65 </a:t>
            </a:r>
            <a:r>
              <a:rPr lang="et-EE" baseline="0">
                <a:latin typeface="+mj-lt"/>
                <a:cs typeface="Calibri Light" panose="020F0302020204030204" pitchFamily="34" charset="0"/>
              </a:rPr>
              <a:t>°C, x 0,0489...0,204</a:t>
            </a:r>
            <a:endParaRPr lang="et-EE">
              <a:latin typeface="+mj-lt"/>
            </a:endParaRPr>
          </a:p>
        </c:rich>
      </c:tx>
      <c:layout>
        <c:manualLayout>
          <c:xMode val="edge"/>
          <c:yMode val="edge"/>
          <c:x val="0.15172900262467193"/>
          <c:y val="4.16666666666666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t-E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poly"/>
            <c:order val="2"/>
            <c:dispRSqr val="0"/>
            <c:dispEq val="1"/>
            <c:trendlineLbl>
              <c:layout>
                <c:manualLayout>
                  <c:x val="-0.36178324584426946"/>
                  <c:y val="-3.7453703703703704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t-EE"/>
                </a:p>
              </c:txPr>
            </c:trendlineLbl>
          </c:trendline>
          <c:xVal>
            <c:numRef>
              <c:f>psühromeetria!$C$47:$C$72</c:f>
              <c:numCache>
                <c:formatCode>General</c:formatCode>
                <c:ptCount val="26"/>
                <c:pt idx="0">
                  <c:v>0.20399999999999999</c:v>
                </c:pt>
                <c:pt idx="1">
                  <c:v>0.192</c:v>
                </c:pt>
                <c:pt idx="2">
                  <c:v>0.18099999999999999</c:v>
                </c:pt>
                <c:pt idx="3">
                  <c:v>0.17100000000000001</c:v>
                </c:pt>
                <c:pt idx="4">
                  <c:v>0.161</c:v>
                </c:pt>
                <c:pt idx="5">
                  <c:v>0.152</c:v>
                </c:pt>
                <c:pt idx="6">
                  <c:v>0.14399999999999999</c:v>
                </c:pt>
                <c:pt idx="7">
                  <c:v>0.13600000000000001</c:v>
                </c:pt>
                <c:pt idx="8">
                  <c:v>0.128</c:v>
                </c:pt>
                <c:pt idx="9">
                  <c:v>0.121</c:v>
                </c:pt>
                <c:pt idx="10">
                  <c:v>0.114</c:v>
                </c:pt>
                <c:pt idx="11">
                  <c:v>0.108</c:v>
                </c:pt>
                <c:pt idx="12">
                  <c:v>0.10199999999999999</c:v>
                </c:pt>
                <c:pt idx="13">
                  <c:v>9.6699999999999994E-2</c:v>
                </c:pt>
                <c:pt idx="14">
                  <c:v>9.1399999999999995E-2</c:v>
                </c:pt>
                <c:pt idx="15">
                  <c:v>8.6300000000000002E-2</c:v>
                </c:pt>
                <c:pt idx="16">
                  <c:v>8.1600000000000006E-2</c:v>
                </c:pt>
                <c:pt idx="17">
                  <c:v>7.7100000000000002E-2</c:v>
                </c:pt>
                <c:pt idx="18">
                  <c:v>7.2900000000000006E-2</c:v>
                </c:pt>
                <c:pt idx="19">
                  <c:v>6.88E-2</c:v>
                </c:pt>
                <c:pt idx="20">
                  <c:v>6.5100000000000005E-2</c:v>
                </c:pt>
                <c:pt idx="21">
                  <c:v>6.1499999999999999E-2</c:v>
                </c:pt>
                <c:pt idx="22">
                  <c:v>5.8099999999999999E-2</c:v>
                </c:pt>
                <c:pt idx="23">
                  <c:v>5.4800000000000001E-2</c:v>
                </c:pt>
                <c:pt idx="24">
                  <c:v>5.1799999999999999E-2</c:v>
                </c:pt>
                <c:pt idx="25">
                  <c:v>4.8899999999999999E-2</c:v>
                </c:pt>
              </c:numCache>
            </c:numRef>
          </c:xVal>
          <c:yVal>
            <c:numRef>
              <c:f>psühromeetria!$D$47:$D$72</c:f>
              <c:numCache>
                <c:formatCode>General</c:formatCode>
                <c:ptCount val="26"/>
                <c:pt idx="0">
                  <c:v>65</c:v>
                </c:pt>
                <c:pt idx="1">
                  <c:v>64</c:v>
                </c:pt>
                <c:pt idx="2">
                  <c:v>63</c:v>
                </c:pt>
                <c:pt idx="3">
                  <c:v>62</c:v>
                </c:pt>
                <c:pt idx="4">
                  <c:v>61</c:v>
                </c:pt>
                <c:pt idx="5">
                  <c:v>60</c:v>
                </c:pt>
                <c:pt idx="6">
                  <c:v>59</c:v>
                </c:pt>
                <c:pt idx="7">
                  <c:v>58</c:v>
                </c:pt>
                <c:pt idx="8">
                  <c:v>57</c:v>
                </c:pt>
                <c:pt idx="9">
                  <c:v>56</c:v>
                </c:pt>
                <c:pt idx="10">
                  <c:v>55</c:v>
                </c:pt>
                <c:pt idx="11">
                  <c:v>54</c:v>
                </c:pt>
                <c:pt idx="12">
                  <c:v>53</c:v>
                </c:pt>
                <c:pt idx="13">
                  <c:v>52</c:v>
                </c:pt>
                <c:pt idx="14">
                  <c:v>51</c:v>
                </c:pt>
                <c:pt idx="15">
                  <c:v>50</c:v>
                </c:pt>
                <c:pt idx="16">
                  <c:v>49</c:v>
                </c:pt>
                <c:pt idx="17">
                  <c:v>48</c:v>
                </c:pt>
                <c:pt idx="18">
                  <c:v>47</c:v>
                </c:pt>
                <c:pt idx="19">
                  <c:v>46</c:v>
                </c:pt>
                <c:pt idx="20">
                  <c:v>45</c:v>
                </c:pt>
                <c:pt idx="21">
                  <c:v>44</c:v>
                </c:pt>
                <c:pt idx="22">
                  <c:v>43</c:v>
                </c:pt>
                <c:pt idx="23">
                  <c:v>42</c:v>
                </c:pt>
                <c:pt idx="24">
                  <c:v>41</c:v>
                </c:pt>
                <c:pt idx="25">
                  <c:v>40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275-4803-8E68-2295092EC8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01854751"/>
        <c:axId val="1001848927"/>
      </c:scatterChart>
      <c:valAx>
        <c:axId val="100185475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t-EE"/>
          </a:p>
        </c:txPr>
        <c:crossAx val="1001848927"/>
        <c:crosses val="autoZero"/>
        <c:crossBetween val="midCat"/>
      </c:valAx>
      <c:valAx>
        <c:axId val="10018489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t-EE"/>
          </a:p>
        </c:txPr>
        <c:crossAx val="100185475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t-EE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t-EE">
                <a:latin typeface="+mj-lt"/>
              </a:rPr>
              <a:t>t vahemik</a:t>
            </a:r>
            <a:r>
              <a:rPr lang="et-EE" baseline="0">
                <a:latin typeface="+mj-lt"/>
              </a:rPr>
              <a:t> 20...40 </a:t>
            </a:r>
            <a:r>
              <a:rPr lang="et-EE" baseline="0">
                <a:latin typeface="+mj-lt"/>
                <a:cs typeface="Calibri Light" panose="020F0302020204030204" pitchFamily="34" charset="0"/>
              </a:rPr>
              <a:t>°C, x 0,0147...0,0489</a:t>
            </a:r>
            <a:endParaRPr lang="et-EE">
              <a:latin typeface="+mj-lt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t-E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poly"/>
            <c:order val="2"/>
            <c:dispRSqr val="0"/>
            <c:dispEq val="1"/>
            <c:trendlineLbl>
              <c:layout>
                <c:manualLayout>
                  <c:x val="-0.29145800524934384"/>
                  <c:y val="-4.3871755613881618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t-EE"/>
                </a:p>
              </c:txPr>
            </c:trendlineLbl>
          </c:trendline>
          <c:xVal>
            <c:numRef>
              <c:f>psühromeetria!$C$72:$C$92</c:f>
              <c:numCache>
                <c:formatCode>General</c:formatCode>
                <c:ptCount val="21"/>
                <c:pt idx="0">
                  <c:v>4.8899999999999999E-2</c:v>
                </c:pt>
                <c:pt idx="1">
                  <c:v>4.6199999999999998E-2</c:v>
                </c:pt>
                <c:pt idx="2">
                  <c:v>4.36E-2</c:v>
                </c:pt>
                <c:pt idx="3">
                  <c:v>4.1099999999999998E-2</c:v>
                </c:pt>
                <c:pt idx="4">
                  <c:v>3.8800000000000001E-2</c:v>
                </c:pt>
                <c:pt idx="5">
                  <c:v>3.6600000000000001E-2</c:v>
                </c:pt>
                <c:pt idx="6">
                  <c:v>3.4500000000000003E-2</c:v>
                </c:pt>
                <c:pt idx="7">
                  <c:v>3.2500000000000001E-2</c:v>
                </c:pt>
                <c:pt idx="8">
                  <c:v>3.0700000000000002E-2</c:v>
                </c:pt>
                <c:pt idx="9">
                  <c:v>2.8899999999999999E-2</c:v>
                </c:pt>
                <c:pt idx="10">
                  <c:v>2.7199999999999998E-2</c:v>
                </c:pt>
                <c:pt idx="11">
                  <c:v>2.5600000000000001E-2</c:v>
                </c:pt>
                <c:pt idx="12">
                  <c:v>2.41E-2</c:v>
                </c:pt>
                <c:pt idx="13">
                  <c:v>2.2700000000000001E-2</c:v>
                </c:pt>
                <c:pt idx="14">
                  <c:v>2.1399999999999999E-2</c:v>
                </c:pt>
                <c:pt idx="15">
                  <c:v>2.01E-2</c:v>
                </c:pt>
                <c:pt idx="16">
                  <c:v>1.89E-2</c:v>
                </c:pt>
                <c:pt idx="17">
                  <c:v>1.77E-2</c:v>
                </c:pt>
                <c:pt idx="18">
                  <c:v>1.67E-2</c:v>
                </c:pt>
                <c:pt idx="19">
                  <c:v>1.5699999999999999E-2</c:v>
                </c:pt>
                <c:pt idx="20">
                  <c:v>1.47E-2</c:v>
                </c:pt>
              </c:numCache>
            </c:numRef>
          </c:xVal>
          <c:yVal>
            <c:numRef>
              <c:f>psühromeetria!$D$72:$D$92</c:f>
              <c:numCache>
                <c:formatCode>General</c:formatCode>
                <c:ptCount val="21"/>
                <c:pt idx="0">
                  <c:v>40</c:v>
                </c:pt>
                <c:pt idx="1">
                  <c:v>39</c:v>
                </c:pt>
                <c:pt idx="2">
                  <c:v>38</c:v>
                </c:pt>
                <c:pt idx="3">
                  <c:v>37</c:v>
                </c:pt>
                <c:pt idx="4">
                  <c:v>36</c:v>
                </c:pt>
                <c:pt idx="5">
                  <c:v>35</c:v>
                </c:pt>
                <c:pt idx="6">
                  <c:v>34</c:v>
                </c:pt>
                <c:pt idx="7">
                  <c:v>33</c:v>
                </c:pt>
                <c:pt idx="8">
                  <c:v>32</c:v>
                </c:pt>
                <c:pt idx="9">
                  <c:v>31</c:v>
                </c:pt>
                <c:pt idx="10">
                  <c:v>30</c:v>
                </c:pt>
                <c:pt idx="11">
                  <c:v>29</c:v>
                </c:pt>
                <c:pt idx="12">
                  <c:v>28</c:v>
                </c:pt>
                <c:pt idx="13">
                  <c:v>27</c:v>
                </c:pt>
                <c:pt idx="14">
                  <c:v>26</c:v>
                </c:pt>
                <c:pt idx="15">
                  <c:v>25</c:v>
                </c:pt>
                <c:pt idx="16">
                  <c:v>24</c:v>
                </c:pt>
                <c:pt idx="17">
                  <c:v>23</c:v>
                </c:pt>
                <c:pt idx="18">
                  <c:v>22</c:v>
                </c:pt>
                <c:pt idx="19">
                  <c:v>21</c:v>
                </c:pt>
                <c:pt idx="20">
                  <c:v>20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4BA-4D1D-9E3D-2090259687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11845823"/>
        <c:axId val="1011847487"/>
      </c:scatterChart>
      <c:valAx>
        <c:axId val="101184582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t-EE"/>
          </a:p>
        </c:txPr>
        <c:crossAx val="1011847487"/>
        <c:crosses val="autoZero"/>
        <c:crossBetween val="midCat"/>
      </c:valAx>
      <c:valAx>
        <c:axId val="10118474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t-EE"/>
          </a:p>
        </c:txPr>
        <c:crossAx val="101184582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t-EE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t-EE" sz="1200">
                <a:latin typeface="+mj-lt"/>
              </a:rPr>
              <a:t>Dew</a:t>
            </a:r>
            <a:r>
              <a:rPr lang="et-EE" sz="1200" baseline="0">
                <a:latin typeface="+mj-lt"/>
              </a:rPr>
              <a:t> point temperature / saturating amount of water, normal pressure</a:t>
            </a:r>
            <a:endParaRPr lang="et-EE" sz="1200">
              <a:latin typeface="+mj-lt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t-EE"/>
        </a:p>
      </c:txPr>
    </c:title>
    <c:autoTitleDeleted val="0"/>
    <c:plotArea>
      <c:layout>
        <c:manualLayout>
          <c:layoutTarget val="inner"/>
          <c:xMode val="edge"/>
          <c:yMode val="edge"/>
          <c:x val="9.745620618913102E-2"/>
          <c:y val="0.10989627065703807"/>
          <c:w val="0.85438665920659396"/>
          <c:h val="0.75853840570699194"/>
        </c:manualLayout>
      </c:layout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2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0"/>
            <c:marker>
              <c:symbol val="circle"/>
              <c:size val="2"/>
              <c:spPr>
                <a:solidFill>
                  <a:schemeClr val="accent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5E1B-45C0-9822-006D3281175F}"/>
              </c:ext>
            </c:extLst>
          </c:dPt>
          <c:trendline>
            <c:spPr>
              <a:ln w="19050" cap="rnd">
                <a:solidFill>
                  <a:schemeClr val="accent1"/>
                </a:solidFill>
                <a:prstDash val="solid"/>
              </a:ln>
              <a:effectLst/>
            </c:spPr>
            <c:trendlineType val="movingAvg"/>
            <c:period val="2"/>
            <c:dispRSqr val="0"/>
            <c:dispEq val="0"/>
          </c:trendline>
          <c:xVal>
            <c:numRef>
              <c:f>psühromeetria!$B$4:$B$112</c:f>
              <c:numCache>
                <c:formatCode>General</c:formatCode>
                <c:ptCount val="109"/>
                <c:pt idx="0">
                  <c:v>99</c:v>
                </c:pt>
                <c:pt idx="1">
                  <c:v>98.9</c:v>
                </c:pt>
                <c:pt idx="2">
                  <c:v>98.800000000000011</c:v>
                </c:pt>
                <c:pt idx="3">
                  <c:v>98.700000000000017</c:v>
                </c:pt>
                <c:pt idx="4">
                  <c:v>98.600000000000023</c:v>
                </c:pt>
                <c:pt idx="5">
                  <c:v>98.500000000000028</c:v>
                </c:pt>
                <c:pt idx="6">
                  <c:v>98.400000000000034</c:v>
                </c:pt>
                <c:pt idx="7">
                  <c:v>98.30000000000004</c:v>
                </c:pt>
                <c:pt idx="8">
                  <c:v>98.200000000000045</c:v>
                </c:pt>
                <c:pt idx="9">
                  <c:v>98.1</c:v>
                </c:pt>
                <c:pt idx="10">
                  <c:v>98</c:v>
                </c:pt>
                <c:pt idx="11">
                  <c:v>97</c:v>
                </c:pt>
                <c:pt idx="12">
                  <c:v>96</c:v>
                </c:pt>
                <c:pt idx="13">
                  <c:v>95</c:v>
                </c:pt>
                <c:pt idx="14">
                  <c:v>94</c:v>
                </c:pt>
                <c:pt idx="15">
                  <c:v>93</c:v>
                </c:pt>
                <c:pt idx="16">
                  <c:v>92</c:v>
                </c:pt>
                <c:pt idx="17">
                  <c:v>91</c:v>
                </c:pt>
                <c:pt idx="18">
                  <c:v>90</c:v>
                </c:pt>
                <c:pt idx="19">
                  <c:v>89</c:v>
                </c:pt>
                <c:pt idx="20">
                  <c:v>88</c:v>
                </c:pt>
                <c:pt idx="21">
                  <c:v>87</c:v>
                </c:pt>
                <c:pt idx="22">
                  <c:v>86</c:v>
                </c:pt>
                <c:pt idx="23">
                  <c:v>85</c:v>
                </c:pt>
                <c:pt idx="24">
                  <c:v>84</c:v>
                </c:pt>
                <c:pt idx="25">
                  <c:v>83</c:v>
                </c:pt>
                <c:pt idx="26">
                  <c:v>82</c:v>
                </c:pt>
                <c:pt idx="27">
                  <c:v>81</c:v>
                </c:pt>
                <c:pt idx="28">
                  <c:v>80</c:v>
                </c:pt>
                <c:pt idx="29">
                  <c:v>79</c:v>
                </c:pt>
                <c:pt idx="30">
                  <c:v>78</c:v>
                </c:pt>
                <c:pt idx="31">
                  <c:v>77</c:v>
                </c:pt>
                <c:pt idx="32">
                  <c:v>76</c:v>
                </c:pt>
                <c:pt idx="33">
                  <c:v>75</c:v>
                </c:pt>
                <c:pt idx="34">
                  <c:v>74</c:v>
                </c:pt>
                <c:pt idx="35">
                  <c:v>73</c:v>
                </c:pt>
                <c:pt idx="36">
                  <c:v>72</c:v>
                </c:pt>
                <c:pt idx="37">
                  <c:v>71</c:v>
                </c:pt>
                <c:pt idx="38">
                  <c:v>70</c:v>
                </c:pt>
                <c:pt idx="39">
                  <c:v>69</c:v>
                </c:pt>
                <c:pt idx="40">
                  <c:v>68</c:v>
                </c:pt>
                <c:pt idx="41">
                  <c:v>67</c:v>
                </c:pt>
                <c:pt idx="42">
                  <c:v>66</c:v>
                </c:pt>
                <c:pt idx="43">
                  <c:v>65</c:v>
                </c:pt>
                <c:pt idx="44">
                  <c:v>64</c:v>
                </c:pt>
                <c:pt idx="45">
                  <c:v>63</c:v>
                </c:pt>
                <c:pt idx="46">
                  <c:v>62</c:v>
                </c:pt>
                <c:pt idx="47">
                  <c:v>61</c:v>
                </c:pt>
                <c:pt idx="48">
                  <c:v>60</c:v>
                </c:pt>
                <c:pt idx="49">
                  <c:v>59</c:v>
                </c:pt>
                <c:pt idx="50">
                  <c:v>58</c:v>
                </c:pt>
                <c:pt idx="51">
                  <c:v>57</c:v>
                </c:pt>
                <c:pt idx="52">
                  <c:v>56</c:v>
                </c:pt>
                <c:pt idx="53">
                  <c:v>55</c:v>
                </c:pt>
                <c:pt idx="54">
                  <c:v>54</c:v>
                </c:pt>
                <c:pt idx="55">
                  <c:v>53</c:v>
                </c:pt>
                <c:pt idx="56">
                  <c:v>52</c:v>
                </c:pt>
                <c:pt idx="57">
                  <c:v>51</c:v>
                </c:pt>
                <c:pt idx="58">
                  <c:v>50</c:v>
                </c:pt>
                <c:pt idx="59">
                  <c:v>49</c:v>
                </c:pt>
                <c:pt idx="60">
                  <c:v>48</c:v>
                </c:pt>
                <c:pt idx="61">
                  <c:v>47</c:v>
                </c:pt>
                <c:pt idx="62">
                  <c:v>46</c:v>
                </c:pt>
                <c:pt idx="63">
                  <c:v>45</c:v>
                </c:pt>
                <c:pt idx="64">
                  <c:v>44</c:v>
                </c:pt>
                <c:pt idx="65">
                  <c:v>43</c:v>
                </c:pt>
                <c:pt idx="66">
                  <c:v>42</c:v>
                </c:pt>
                <c:pt idx="67">
                  <c:v>41</c:v>
                </c:pt>
                <c:pt idx="68">
                  <c:v>40</c:v>
                </c:pt>
                <c:pt idx="69">
                  <c:v>39</c:v>
                </c:pt>
                <c:pt idx="70">
                  <c:v>38</c:v>
                </c:pt>
                <c:pt idx="71">
                  <c:v>37</c:v>
                </c:pt>
                <c:pt idx="72">
                  <c:v>36</c:v>
                </c:pt>
                <c:pt idx="73">
                  <c:v>35</c:v>
                </c:pt>
                <c:pt idx="74">
                  <c:v>34</c:v>
                </c:pt>
                <c:pt idx="75">
                  <c:v>33</c:v>
                </c:pt>
                <c:pt idx="76">
                  <c:v>32</c:v>
                </c:pt>
                <c:pt idx="77">
                  <c:v>31</c:v>
                </c:pt>
                <c:pt idx="78">
                  <c:v>30</c:v>
                </c:pt>
                <c:pt idx="79">
                  <c:v>29</c:v>
                </c:pt>
                <c:pt idx="80">
                  <c:v>28</c:v>
                </c:pt>
                <c:pt idx="81">
                  <c:v>27</c:v>
                </c:pt>
                <c:pt idx="82">
                  <c:v>26</c:v>
                </c:pt>
                <c:pt idx="83">
                  <c:v>25</c:v>
                </c:pt>
                <c:pt idx="84">
                  <c:v>24</c:v>
                </c:pt>
                <c:pt idx="85">
                  <c:v>23</c:v>
                </c:pt>
                <c:pt idx="86">
                  <c:v>22</c:v>
                </c:pt>
                <c:pt idx="87">
                  <c:v>21</c:v>
                </c:pt>
                <c:pt idx="88">
                  <c:v>20</c:v>
                </c:pt>
                <c:pt idx="89">
                  <c:v>19</c:v>
                </c:pt>
                <c:pt idx="90">
                  <c:v>18</c:v>
                </c:pt>
                <c:pt idx="91">
                  <c:v>17</c:v>
                </c:pt>
                <c:pt idx="92">
                  <c:v>16</c:v>
                </c:pt>
                <c:pt idx="93">
                  <c:v>15</c:v>
                </c:pt>
                <c:pt idx="94">
                  <c:v>14</c:v>
                </c:pt>
                <c:pt idx="95">
                  <c:v>13</c:v>
                </c:pt>
                <c:pt idx="96">
                  <c:v>12</c:v>
                </c:pt>
                <c:pt idx="97">
                  <c:v>11</c:v>
                </c:pt>
                <c:pt idx="98">
                  <c:v>10</c:v>
                </c:pt>
                <c:pt idx="99">
                  <c:v>9</c:v>
                </c:pt>
                <c:pt idx="100">
                  <c:v>8</c:v>
                </c:pt>
                <c:pt idx="101">
                  <c:v>7</c:v>
                </c:pt>
                <c:pt idx="102">
                  <c:v>6</c:v>
                </c:pt>
                <c:pt idx="103">
                  <c:v>5</c:v>
                </c:pt>
                <c:pt idx="104">
                  <c:v>4</c:v>
                </c:pt>
                <c:pt idx="105">
                  <c:v>3</c:v>
                </c:pt>
                <c:pt idx="106">
                  <c:v>2</c:v>
                </c:pt>
                <c:pt idx="107">
                  <c:v>1</c:v>
                </c:pt>
                <c:pt idx="108">
                  <c:v>0</c:v>
                </c:pt>
              </c:numCache>
            </c:numRef>
          </c:xVal>
          <c:yVal>
            <c:numRef>
              <c:f>psühromeetria!$C$4:$C$112</c:f>
              <c:numCache>
                <c:formatCode>General</c:formatCode>
                <c:ptCount val="109"/>
                <c:pt idx="0">
                  <c:v>17.524999999999999</c:v>
                </c:pt>
                <c:pt idx="1">
                  <c:v>15.86</c:v>
                </c:pt>
                <c:pt idx="2">
                  <c:v>14.478</c:v>
                </c:pt>
                <c:pt idx="3">
                  <c:v>13.313000000000001</c:v>
                </c:pt>
                <c:pt idx="4">
                  <c:v>12.319000000000001</c:v>
                </c:pt>
                <c:pt idx="5">
                  <c:v>11.459</c:v>
                </c:pt>
                <c:pt idx="6">
                  <c:v>10.708</c:v>
                </c:pt>
                <c:pt idx="7">
                  <c:v>10.047000000000001</c:v>
                </c:pt>
                <c:pt idx="8">
                  <c:v>9.4600000000000009</c:v>
                </c:pt>
                <c:pt idx="9">
                  <c:v>8.9359999999999999</c:v>
                </c:pt>
                <c:pt idx="10">
                  <c:v>8.4670000000000005</c:v>
                </c:pt>
                <c:pt idx="11">
                  <c:v>5.5</c:v>
                </c:pt>
                <c:pt idx="12">
                  <c:v>4.0270000000000001</c:v>
                </c:pt>
                <c:pt idx="13">
                  <c:v>3.1480000000000001</c:v>
                </c:pt>
                <c:pt idx="14">
                  <c:v>2.5630000000000002</c:v>
                </c:pt>
                <c:pt idx="15">
                  <c:v>2.1469999999999998</c:v>
                </c:pt>
                <c:pt idx="16">
                  <c:v>1.8360000000000001</c:v>
                </c:pt>
                <c:pt idx="17">
                  <c:v>1.5940000000000001</c:v>
                </c:pt>
                <c:pt idx="18">
                  <c:v>1.401</c:v>
                </c:pt>
                <c:pt idx="19">
                  <c:v>1.224</c:v>
                </c:pt>
                <c:pt idx="20">
                  <c:v>1.1140000000000001</c:v>
                </c:pt>
                <c:pt idx="21">
                  <c:v>1.004</c:v>
                </c:pt>
                <c:pt idx="22">
                  <c:v>0.90900000000000003</c:v>
                </c:pt>
                <c:pt idx="23">
                  <c:v>0.82799999999999996</c:v>
                </c:pt>
                <c:pt idx="24">
                  <c:v>0.75700000000000001</c:v>
                </c:pt>
                <c:pt idx="25">
                  <c:v>0.69499999999999995</c:v>
                </c:pt>
                <c:pt idx="26">
                  <c:v>0.64</c:v>
                </c:pt>
                <c:pt idx="27">
                  <c:v>0.59</c:v>
                </c:pt>
                <c:pt idx="28">
                  <c:v>0.54700000000000004</c:v>
                </c:pt>
                <c:pt idx="29">
                  <c:v>0.50700000000000001</c:v>
                </c:pt>
                <c:pt idx="30">
                  <c:v>0.47199999999999998</c:v>
                </c:pt>
                <c:pt idx="31">
                  <c:v>0.439</c:v>
                </c:pt>
                <c:pt idx="32">
                  <c:v>0.41</c:v>
                </c:pt>
                <c:pt idx="33">
                  <c:v>0.38300000000000001</c:v>
                </c:pt>
                <c:pt idx="34">
                  <c:v>0.35799999999999998</c:v>
                </c:pt>
                <c:pt idx="35">
                  <c:v>0.33500000000000002</c:v>
                </c:pt>
                <c:pt idx="36">
                  <c:v>0.314</c:v>
                </c:pt>
                <c:pt idx="37">
                  <c:v>0.29499999999999998</c:v>
                </c:pt>
                <c:pt idx="38">
                  <c:v>0.27700000000000002</c:v>
                </c:pt>
                <c:pt idx="39">
                  <c:v>0.26</c:v>
                </c:pt>
                <c:pt idx="40">
                  <c:v>0.245</c:v>
                </c:pt>
                <c:pt idx="41">
                  <c:v>0.23</c:v>
                </c:pt>
                <c:pt idx="42">
                  <c:v>0.217</c:v>
                </c:pt>
                <c:pt idx="43">
                  <c:v>0.20399999999999999</c:v>
                </c:pt>
                <c:pt idx="44">
                  <c:v>0.192</c:v>
                </c:pt>
                <c:pt idx="45">
                  <c:v>0.18099999999999999</c:v>
                </c:pt>
                <c:pt idx="46">
                  <c:v>0.17100000000000001</c:v>
                </c:pt>
                <c:pt idx="47">
                  <c:v>0.161</c:v>
                </c:pt>
                <c:pt idx="48">
                  <c:v>0.152</c:v>
                </c:pt>
                <c:pt idx="49">
                  <c:v>0.14399999999999999</c:v>
                </c:pt>
                <c:pt idx="50">
                  <c:v>0.13600000000000001</c:v>
                </c:pt>
                <c:pt idx="51">
                  <c:v>0.128</c:v>
                </c:pt>
                <c:pt idx="52">
                  <c:v>0.121</c:v>
                </c:pt>
                <c:pt idx="53">
                  <c:v>0.114</c:v>
                </c:pt>
                <c:pt idx="54">
                  <c:v>0.108</c:v>
                </c:pt>
                <c:pt idx="55">
                  <c:v>0.10199999999999999</c:v>
                </c:pt>
                <c:pt idx="56">
                  <c:v>9.6699999999999994E-2</c:v>
                </c:pt>
                <c:pt idx="57">
                  <c:v>9.1399999999999995E-2</c:v>
                </c:pt>
                <c:pt idx="58">
                  <c:v>8.6300000000000002E-2</c:v>
                </c:pt>
                <c:pt idx="59">
                  <c:v>8.1600000000000006E-2</c:v>
                </c:pt>
                <c:pt idx="60">
                  <c:v>7.7100000000000002E-2</c:v>
                </c:pt>
                <c:pt idx="61">
                  <c:v>7.2900000000000006E-2</c:v>
                </c:pt>
                <c:pt idx="62">
                  <c:v>6.88E-2</c:v>
                </c:pt>
                <c:pt idx="63">
                  <c:v>6.5100000000000005E-2</c:v>
                </c:pt>
                <c:pt idx="64">
                  <c:v>6.1499999999999999E-2</c:v>
                </c:pt>
                <c:pt idx="65">
                  <c:v>5.8099999999999999E-2</c:v>
                </c:pt>
                <c:pt idx="66">
                  <c:v>5.4800000000000001E-2</c:v>
                </c:pt>
                <c:pt idx="67">
                  <c:v>5.1799999999999999E-2</c:v>
                </c:pt>
                <c:pt idx="68">
                  <c:v>4.8899999999999999E-2</c:v>
                </c:pt>
                <c:pt idx="69">
                  <c:v>4.6199999999999998E-2</c:v>
                </c:pt>
                <c:pt idx="70">
                  <c:v>4.36E-2</c:v>
                </c:pt>
                <c:pt idx="71">
                  <c:v>4.1099999999999998E-2</c:v>
                </c:pt>
                <c:pt idx="72">
                  <c:v>3.8800000000000001E-2</c:v>
                </c:pt>
                <c:pt idx="73">
                  <c:v>3.6600000000000001E-2</c:v>
                </c:pt>
                <c:pt idx="74">
                  <c:v>3.4500000000000003E-2</c:v>
                </c:pt>
                <c:pt idx="75">
                  <c:v>3.2500000000000001E-2</c:v>
                </c:pt>
                <c:pt idx="76">
                  <c:v>3.0700000000000002E-2</c:v>
                </c:pt>
                <c:pt idx="77">
                  <c:v>2.8899999999999999E-2</c:v>
                </c:pt>
                <c:pt idx="78">
                  <c:v>2.7199999999999998E-2</c:v>
                </c:pt>
                <c:pt idx="79">
                  <c:v>2.5600000000000001E-2</c:v>
                </c:pt>
                <c:pt idx="80">
                  <c:v>2.41E-2</c:v>
                </c:pt>
                <c:pt idx="81">
                  <c:v>2.2700000000000001E-2</c:v>
                </c:pt>
                <c:pt idx="82">
                  <c:v>2.1399999999999999E-2</c:v>
                </c:pt>
                <c:pt idx="83">
                  <c:v>2.01E-2</c:v>
                </c:pt>
                <c:pt idx="84">
                  <c:v>1.89E-2</c:v>
                </c:pt>
                <c:pt idx="85">
                  <c:v>1.77E-2</c:v>
                </c:pt>
                <c:pt idx="86">
                  <c:v>1.67E-2</c:v>
                </c:pt>
                <c:pt idx="87">
                  <c:v>1.5699999999999999E-2</c:v>
                </c:pt>
                <c:pt idx="88">
                  <c:v>1.47E-2</c:v>
                </c:pt>
                <c:pt idx="89">
                  <c:v>1.379E-2</c:v>
                </c:pt>
                <c:pt idx="90" formatCode="0.0000">
                  <c:v>1.294E-2</c:v>
                </c:pt>
                <c:pt idx="91">
                  <c:v>1.213E-2</c:v>
                </c:pt>
                <c:pt idx="92">
                  <c:v>1.137E-2</c:v>
                </c:pt>
                <c:pt idx="93">
                  <c:v>1.065E-2</c:v>
                </c:pt>
                <c:pt idx="94">
                  <c:v>9.9699999999999997E-3</c:v>
                </c:pt>
                <c:pt idx="95">
                  <c:v>9.3299999999999998E-3</c:v>
                </c:pt>
                <c:pt idx="96">
                  <c:v>8.7299999999999999E-3</c:v>
                </c:pt>
                <c:pt idx="97">
                  <c:v>8.1600000000000006E-3</c:v>
                </c:pt>
                <c:pt idx="98">
                  <c:v>7.6299999999999996E-3</c:v>
                </c:pt>
                <c:pt idx="99">
                  <c:v>7.1300000000000001E-3</c:v>
                </c:pt>
                <c:pt idx="100">
                  <c:v>6.6600000000000001E-3</c:v>
                </c:pt>
                <c:pt idx="101">
                  <c:v>6.2100000000000002E-3</c:v>
                </c:pt>
                <c:pt idx="102">
                  <c:v>5.79E-3</c:v>
                </c:pt>
                <c:pt idx="103">
                  <c:v>5.4000000000000003E-3</c:v>
                </c:pt>
                <c:pt idx="104">
                  <c:v>5.0299999999999997E-3</c:v>
                </c:pt>
                <c:pt idx="105">
                  <c:v>4.6899999999999997E-3</c:v>
                </c:pt>
                <c:pt idx="106">
                  <c:v>4.3600000000000002E-3</c:v>
                </c:pt>
                <c:pt idx="107">
                  <c:v>4.0600000000000002E-3</c:v>
                </c:pt>
                <c:pt idx="108">
                  <c:v>3.7699999999999999E-3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E1B-45C0-9822-006D328117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73952960"/>
        <c:axId val="1773953376"/>
      </c:scatterChart>
      <c:valAx>
        <c:axId val="17739529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t-E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t-EE"/>
          </a:p>
        </c:txPr>
        <c:crossAx val="1773953376"/>
        <c:crosses val="autoZero"/>
        <c:crossBetween val="midCat"/>
      </c:valAx>
      <c:valAx>
        <c:axId val="17739533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t-EE">
                    <a:latin typeface="+mj-lt"/>
                  </a:rPr>
                  <a:t>Saturating</a:t>
                </a:r>
                <a:r>
                  <a:rPr lang="et-EE" baseline="0">
                    <a:latin typeface="+mj-lt"/>
                  </a:rPr>
                  <a:t> amount of water vapour kg</a:t>
                </a:r>
                <a:r>
                  <a:rPr lang="et-EE" baseline="-25000">
                    <a:latin typeface="+mj-lt"/>
                  </a:rPr>
                  <a:t>H2O</a:t>
                </a:r>
                <a:r>
                  <a:rPr lang="et-EE" baseline="0">
                    <a:latin typeface="+mj-lt"/>
                  </a:rPr>
                  <a:t>/kg</a:t>
                </a:r>
                <a:r>
                  <a:rPr lang="et-EE" baseline="-25000">
                    <a:latin typeface="+mj-lt"/>
                  </a:rPr>
                  <a:t>gas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t-E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t-EE"/>
          </a:p>
        </c:txPr>
        <c:crossAx val="177395296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t-EE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t-EE" sz="1100" b="0" i="0" u="none" strike="noStrike" baseline="0">
                <a:effectLst/>
                <a:latin typeface="+mj-lt"/>
              </a:rPr>
              <a:t>Saturating amount of water vapour in dry gas, normal pressure</a:t>
            </a:r>
            <a:endParaRPr lang="et-EE" sz="1100">
              <a:latin typeface="+mj-lt"/>
            </a:endParaRPr>
          </a:p>
        </c:rich>
      </c:tx>
      <c:layout>
        <c:manualLayout>
          <c:xMode val="edge"/>
          <c:yMode val="edge"/>
          <c:x val="0.26774696641180723"/>
          <c:y val="4.046371847023654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lineMarker"/>
        <c:varyColors val="0"/>
        <c:ser>
          <c:idx val="1"/>
          <c:order val="0"/>
          <c:spPr>
            <a:ln w="25400">
              <a:noFill/>
            </a:ln>
          </c:spPr>
          <c:marker>
            <c:symbol val="none"/>
          </c:marker>
          <c:xVal>
            <c:numRef>
              <c:f>psühromeetria!$C$42:$C$112</c:f>
              <c:numCache>
                <c:formatCode>General</c:formatCode>
                <c:ptCount val="71"/>
                <c:pt idx="0">
                  <c:v>0.27700000000000002</c:v>
                </c:pt>
                <c:pt idx="1">
                  <c:v>0.26</c:v>
                </c:pt>
                <c:pt idx="2">
                  <c:v>0.245</c:v>
                </c:pt>
                <c:pt idx="3">
                  <c:v>0.23</c:v>
                </c:pt>
                <c:pt idx="4">
                  <c:v>0.217</c:v>
                </c:pt>
                <c:pt idx="5">
                  <c:v>0.20399999999999999</c:v>
                </c:pt>
                <c:pt idx="6">
                  <c:v>0.192</c:v>
                </c:pt>
                <c:pt idx="7">
                  <c:v>0.18099999999999999</c:v>
                </c:pt>
                <c:pt idx="8">
                  <c:v>0.17100000000000001</c:v>
                </c:pt>
                <c:pt idx="9">
                  <c:v>0.161</c:v>
                </c:pt>
                <c:pt idx="10">
                  <c:v>0.152</c:v>
                </c:pt>
                <c:pt idx="11">
                  <c:v>0.14399999999999999</c:v>
                </c:pt>
                <c:pt idx="12">
                  <c:v>0.13600000000000001</c:v>
                </c:pt>
                <c:pt idx="13">
                  <c:v>0.128</c:v>
                </c:pt>
                <c:pt idx="14">
                  <c:v>0.121</c:v>
                </c:pt>
                <c:pt idx="15">
                  <c:v>0.114</c:v>
                </c:pt>
                <c:pt idx="16">
                  <c:v>0.108</c:v>
                </c:pt>
                <c:pt idx="17">
                  <c:v>0.10199999999999999</c:v>
                </c:pt>
                <c:pt idx="18">
                  <c:v>9.6699999999999994E-2</c:v>
                </c:pt>
                <c:pt idx="19">
                  <c:v>9.1399999999999995E-2</c:v>
                </c:pt>
                <c:pt idx="20">
                  <c:v>8.6300000000000002E-2</c:v>
                </c:pt>
                <c:pt idx="21">
                  <c:v>8.1600000000000006E-2</c:v>
                </c:pt>
                <c:pt idx="22">
                  <c:v>7.7100000000000002E-2</c:v>
                </c:pt>
                <c:pt idx="23">
                  <c:v>7.2900000000000006E-2</c:v>
                </c:pt>
                <c:pt idx="24">
                  <c:v>6.88E-2</c:v>
                </c:pt>
                <c:pt idx="25">
                  <c:v>6.5100000000000005E-2</c:v>
                </c:pt>
                <c:pt idx="26">
                  <c:v>6.1499999999999999E-2</c:v>
                </c:pt>
                <c:pt idx="27">
                  <c:v>5.8099999999999999E-2</c:v>
                </c:pt>
                <c:pt idx="28">
                  <c:v>5.4800000000000001E-2</c:v>
                </c:pt>
                <c:pt idx="29">
                  <c:v>5.1799999999999999E-2</c:v>
                </c:pt>
                <c:pt idx="30">
                  <c:v>4.8899999999999999E-2</c:v>
                </c:pt>
                <c:pt idx="31">
                  <c:v>4.6199999999999998E-2</c:v>
                </c:pt>
                <c:pt idx="32">
                  <c:v>4.36E-2</c:v>
                </c:pt>
                <c:pt idx="33">
                  <c:v>4.1099999999999998E-2</c:v>
                </c:pt>
                <c:pt idx="34">
                  <c:v>3.8800000000000001E-2</c:v>
                </c:pt>
                <c:pt idx="35">
                  <c:v>3.6600000000000001E-2</c:v>
                </c:pt>
                <c:pt idx="36">
                  <c:v>3.4500000000000003E-2</c:v>
                </c:pt>
                <c:pt idx="37">
                  <c:v>3.2500000000000001E-2</c:v>
                </c:pt>
                <c:pt idx="38">
                  <c:v>3.0700000000000002E-2</c:v>
                </c:pt>
                <c:pt idx="39">
                  <c:v>2.8899999999999999E-2</c:v>
                </c:pt>
                <c:pt idx="40">
                  <c:v>2.7199999999999998E-2</c:v>
                </c:pt>
                <c:pt idx="41">
                  <c:v>2.5600000000000001E-2</c:v>
                </c:pt>
                <c:pt idx="42">
                  <c:v>2.41E-2</c:v>
                </c:pt>
                <c:pt idx="43">
                  <c:v>2.2700000000000001E-2</c:v>
                </c:pt>
                <c:pt idx="44">
                  <c:v>2.1399999999999999E-2</c:v>
                </c:pt>
                <c:pt idx="45">
                  <c:v>2.01E-2</c:v>
                </c:pt>
                <c:pt idx="46">
                  <c:v>1.89E-2</c:v>
                </c:pt>
                <c:pt idx="47">
                  <c:v>1.77E-2</c:v>
                </c:pt>
                <c:pt idx="48">
                  <c:v>1.67E-2</c:v>
                </c:pt>
                <c:pt idx="49">
                  <c:v>1.5699999999999999E-2</c:v>
                </c:pt>
                <c:pt idx="50">
                  <c:v>1.47E-2</c:v>
                </c:pt>
                <c:pt idx="51">
                  <c:v>1.379E-2</c:v>
                </c:pt>
                <c:pt idx="52" formatCode="0.0000">
                  <c:v>1.294E-2</c:v>
                </c:pt>
                <c:pt idx="53">
                  <c:v>1.213E-2</c:v>
                </c:pt>
                <c:pt idx="54">
                  <c:v>1.137E-2</c:v>
                </c:pt>
                <c:pt idx="55">
                  <c:v>1.065E-2</c:v>
                </c:pt>
                <c:pt idx="56">
                  <c:v>9.9699999999999997E-3</c:v>
                </c:pt>
                <c:pt idx="57">
                  <c:v>9.3299999999999998E-3</c:v>
                </c:pt>
                <c:pt idx="58">
                  <c:v>8.7299999999999999E-3</c:v>
                </c:pt>
                <c:pt idx="59">
                  <c:v>8.1600000000000006E-3</c:v>
                </c:pt>
                <c:pt idx="60">
                  <c:v>7.6299999999999996E-3</c:v>
                </c:pt>
                <c:pt idx="61">
                  <c:v>7.1300000000000001E-3</c:v>
                </c:pt>
                <c:pt idx="62">
                  <c:v>6.6600000000000001E-3</c:v>
                </c:pt>
                <c:pt idx="63">
                  <c:v>6.2100000000000002E-3</c:v>
                </c:pt>
                <c:pt idx="64">
                  <c:v>5.79E-3</c:v>
                </c:pt>
                <c:pt idx="65">
                  <c:v>5.4000000000000003E-3</c:v>
                </c:pt>
                <c:pt idx="66">
                  <c:v>5.0299999999999997E-3</c:v>
                </c:pt>
                <c:pt idx="67">
                  <c:v>4.6899999999999997E-3</c:v>
                </c:pt>
                <c:pt idx="68">
                  <c:v>4.3600000000000002E-3</c:v>
                </c:pt>
                <c:pt idx="69">
                  <c:v>4.0600000000000002E-3</c:v>
                </c:pt>
                <c:pt idx="70">
                  <c:v>3.7699999999999999E-3</c:v>
                </c:pt>
              </c:numCache>
            </c:numRef>
          </c:xVal>
          <c:yVal>
            <c:numRef>
              <c:f>psühromeetria!$B$42:$B$112</c:f>
              <c:numCache>
                <c:formatCode>General</c:formatCode>
                <c:ptCount val="71"/>
                <c:pt idx="0">
                  <c:v>70</c:v>
                </c:pt>
                <c:pt idx="1">
                  <c:v>69</c:v>
                </c:pt>
                <c:pt idx="2">
                  <c:v>68</c:v>
                </c:pt>
                <c:pt idx="3">
                  <c:v>67</c:v>
                </c:pt>
                <c:pt idx="4">
                  <c:v>66</c:v>
                </c:pt>
                <c:pt idx="5">
                  <c:v>65</c:v>
                </c:pt>
                <c:pt idx="6">
                  <c:v>64</c:v>
                </c:pt>
                <c:pt idx="7">
                  <c:v>63</c:v>
                </c:pt>
                <c:pt idx="8">
                  <c:v>62</c:v>
                </c:pt>
                <c:pt idx="9">
                  <c:v>61</c:v>
                </c:pt>
                <c:pt idx="10">
                  <c:v>60</c:v>
                </c:pt>
                <c:pt idx="11">
                  <c:v>59</c:v>
                </c:pt>
                <c:pt idx="12">
                  <c:v>58</c:v>
                </c:pt>
                <c:pt idx="13">
                  <c:v>57</c:v>
                </c:pt>
                <c:pt idx="14">
                  <c:v>56</c:v>
                </c:pt>
                <c:pt idx="15">
                  <c:v>55</c:v>
                </c:pt>
                <c:pt idx="16">
                  <c:v>54</c:v>
                </c:pt>
                <c:pt idx="17">
                  <c:v>53</c:v>
                </c:pt>
                <c:pt idx="18">
                  <c:v>52</c:v>
                </c:pt>
                <c:pt idx="19">
                  <c:v>51</c:v>
                </c:pt>
                <c:pt idx="20">
                  <c:v>50</c:v>
                </c:pt>
                <c:pt idx="21">
                  <c:v>49</c:v>
                </c:pt>
                <c:pt idx="22">
                  <c:v>48</c:v>
                </c:pt>
                <c:pt idx="23">
                  <c:v>47</c:v>
                </c:pt>
                <c:pt idx="24">
                  <c:v>46</c:v>
                </c:pt>
                <c:pt idx="25">
                  <c:v>45</c:v>
                </c:pt>
                <c:pt idx="26">
                  <c:v>44</c:v>
                </c:pt>
                <c:pt idx="27">
                  <c:v>43</c:v>
                </c:pt>
                <c:pt idx="28">
                  <c:v>42</c:v>
                </c:pt>
                <c:pt idx="29">
                  <c:v>41</c:v>
                </c:pt>
                <c:pt idx="30">
                  <c:v>40</c:v>
                </c:pt>
                <c:pt idx="31">
                  <c:v>39</c:v>
                </c:pt>
                <c:pt idx="32">
                  <c:v>38</c:v>
                </c:pt>
                <c:pt idx="33">
                  <c:v>37</c:v>
                </c:pt>
                <c:pt idx="34">
                  <c:v>36</c:v>
                </c:pt>
                <c:pt idx="35">
                  <c:v>35</c:v>
                </c:pt>
                <c:pt idx="36">
                  <c:v>34</c:v>
                </c:pt>
                <c:pt idx="37">
                  <c:v>33</c:v>
                </c:pt>
                <c:pt idx="38">
                  <c:v>32</c:v>
                </c:pt>
                <c:pt idx="39">
                  <c:v>31</c:v>
                </c:pt>
                <c:pt idx="40">
                  <c:v>30</c:v>
                </c:pt>
                <c:pt idx="41">
                  <c:v>29</c:v>
                </c:pt>
                <c:pt idx="42">
                  <c:v>28</c:v>
                </c:pt>
                <c:pt idx="43">
                  <c:v>27</c:v>
                </c:pt>
                <c:pt idx="44">
                  <c:v>26</c:v>
                </c:pt>
                <c:pt idx="45">
                  <c:v>25</c:v>
                </c:pt>
                <c:pt idx="46">
                  <c:v>24</c:v>
                </c:pt>
                <c:pt idx="47">
                  <c:v>23</c:v>
                </c:pt>
                <c:pt idx="48">
                  <c:v>22</c:v>
                </c:pt>
                <c:pt idx="49">
                  <c:v>21</c:v>
                </c:pt>
                <c:pt idx="50">
                  <c:v>20</c:v>
                </c:pt>
                <c:pt idx="51">
                  <c:v>19</c:v>
                </c:pt>
                <c:pt idx="52">
                  <c:v>18</c:v>
                </c:pt>
                <c:pt idx="53">
                  <c:v>17</c:v>
                </c:pt>
                <c:pt idx="54">
                  <c:v>16</c:v>
                </c:pt>
                <c:pt idx="55">
                  <c:v>15</c:v>
                </c:pt>
                <c:pt idx="56">
                  <c:v>14</c:v>
                </c:pt>
                <c:pt idx="57">
                  <c:v>13</c:v>
                </c:pt>
                <c:pt idx="58">
                  <c:v>12</c:v>
                </c:pt>
                <c:pt idx="59">
                  <c:v>11</c:v>
                </c:pt>
                <c:pt idx="60">
                  <c:v>10</c:v>
                </c:pt>
                <c:pt idx="61">
                  <c:v>9</c:v>
                </c:pt>
                <c:pt idx="62">
                  <c:v>8</c:v>
                </c:pt>
                <c:pt idx="63">
                  <c:v>7</c:v>
                </c:pt>
                <c:pt idx="64">
                  <c:v>6</c:v>
                </c:pt>
                <c:pt idx="65">
                  <c:v>5</c:v>
                </c:pt>
                <c:pt idx="66">
                  <c:v>4</c:v>
                </c:pt>
                <c:pt idx="67">
                  <c:v>3</c:v>
                </c:pt>
                <c:pt idx="68">
                  <c:v>2</c:v>
                </c:pt>
                <c:pt idx="69">
                  <c:v>1</c:v>
                </c:pt>
                <c:pt idx="7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1D9E-418A-A866-EF8A61633525}"/>
            </c:ext>
          </c:extLst>
        </c:ser>
        <c:ser>
          <c:idx val="0"/>
          <c:order val="1"/>
          <c:spPr>
            <a:ln w="25400" cap="rnd">
              <a:noFill/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olid"/>
              </a:ln>
              <a:effectLst/>
            </c:spPr>
            <c:trendlineType val="movingAvg"/>
            <c:period val="2"/>
            <c:dispRSqr val="0"/>
            <c:dispEq val="0"/>
          </c:trendline>
          <c:xVal>
            <c:numRef>
              <c:f>psühromeetria!$C$42:$C$112</c:f>
              <c:numCache>
                <c:formatCode>General</c:formatCode>
                <c:ptCount val="71"/>
                <c:pt idx="0">
                  <c:v>0.27700000000000002</c:v>
                </c:pt>
                <c:pt idx="1">
                  <c:v>0.26</c:v>
                </c:pt>
                <c:pt idx="2">
                  <c:v>0.245</c:v>
                </c:pt>
                <c:pt idx="3">
                  <c:v>0.23</c:v>
                </c:pt>
                <c:pt idx="4">
                  <c:v>0.217</c:v>
                </c:pt>
                <c:pt idx="5">
                  <c:v>0.20399999999999999</c:v>
                </c:pt>
                <c:pt idx="6">
                  <c:v>0.192</c:v>
                </c:pt>
                <c:pt idx="7">
                  <c:v>0.18099999999999999</c:v>
                </c:pt>
                <c:pt idx="8">
                  <c:v>0.17100000000000001</c:v>
                </c:pt>
                <c:pt idx="9">
                  <c:v>0.161</c:v>
                </c:pt>
                <c:pt idx="10">
                  <c:v>0.152</c:v>
                </c:pt>
                <c:pt idx="11">
                  <c:v>0.14399999999999999</c:v>
                </c:pt>
                <c:pt idx="12">
                  <c:v>0.13600000000000001</c:v>
                </c:pt>
                <c:pt idx="13">
                  <c:v>0.128</c:v>
                </c:pt>
                <c:pt idx="14">
                  <c:v>0.121</c:v>
                </c:pt>
                <c:pt idx="15">
                  <c:v>0.114</c:v>
                </c:pt>
                <c:pt idx="16">
                  <c:v>0.108</c:v>
                </c:pt>
                <c:pt idx="17">
                  <c:v>0.10199999999999999</c:v>
                </c:pt>
                <c:pt idx="18">
                  <c:v>9.6699999999999994E-2</c:v>
                </c:pt>
                <c:pt idx="19">
                  <c:v>9.1399999999999995E-2</c:v>
                </c:pt>
                <c:pt idx="20">
                  <c:v>8.6300000000000002E-2</c:v>
                </c:pt>
                <c:pt idx="21">
                  <c:v>8.1600000000000006E-2</c:v>
                </c:pt>
                <c:pt idx="22">
                  <c:v>7.7100000000000002E-2</c:v>
                </c:pt>
                <c:pt idx="23">
                  <c:v>7.2900000000000006E-2</c:v>
                </c:pt>
                <c:pt idx="24">
                  <c:v>6.88E-2</c:v>
                </c:pt>
                <c:pt idx="25">
                  <c:v>6.5100000000000005E-2</c:v>
                </c:pt>
                <c:pt idx="26">
                  <c:v>6.1499999999999999E-2</c:v>
                </c:pt>
                <c:pt idx="27">
                  <c:v>5.8099999999999999E-2</c:v>
                </c:pt>
                <c:pt idx="28">
                  <c:v>5.4800000000000001E-2</c:v>
                </c:pt>
                <c:pt idx="29">
                  <c:v>5.1799999999999999E-2</c:v>
                </c:pt>
                <c:pt idx="30">
                  <c:v>4.8899999999999999E-2</c:v>
                </c:pt>
                <c:pt idx="31">
                  <c:v>4.6199999999999998E-2</c:v>
                </c:pt>
                <c:pt idx="32">
                  <c:v>4.36E-2</c:v>
                </c:pt>
                <c:pt idx="33">
                  <c:v>4.1099999999999998E-2</c:v>
                </c:pt>
                <c:pt idx="34">
                  <c:v>3.8800000000000001E-2</c:v>
                </c:pt>
                <c:pt idx="35">
                  <c:v>3.6600000000000001E-2</c:v>
                </c:pt>
                <c:pt idx="36">
                  <c:v>3.4500000000000003E-2</c:v>
                </c:pt>
                <c:pt idx="37">
                  <c:v>3.2500000000000001E-2</c:v>
                </c:pt>
                <c:pt idx="38">
                  <c:v>3.0700000000000002E-2</c:v>
                </c:pt>
                <c:pt idx="39">
                  <c:v>2.8899999999999999E-2</c:v>
                </c:pt>
                <c:pt idx="40">
                  <c:v>2.7199999999999998E-2</c:v>
                </c:pt>
                <c:pt idx="41">
                  <c:v>2.5600000000000001E-2</c:v>
                </c:pt>
                <c:pt idx="42">
                  <c:v>2.41E-2</c:v>
                </c:pt>
                <c:pt idx="43">
                  <c:v>2.2700000000000001E-2</c:v>
                </c:pt>
                <c:pt idx="44">
                  <c:v>2.1399999999999999E-2</c:v>
                </c:pt>
                <c:pt idx="45">
                  <c:v>2.01E-2</c:v>
                </c:pt>
                <c:pt idx="46">
                  <c:v>1.89E-2</c:v>
                </c:pt>
                <c:pt idx="47">
                  <c:v>1.77E-2</c:v>
                </c:pt>
                <c:pt idx="48">
                  <c:v>1.67E-2</c:v>
                </c:pt>
                <c:pt idx="49">
                  <c:v>1.5699999999999999E-2</c:v>
                </c:pt>
                <c:pt idx="50">
                  <c:v>1.47E-2</c:v>
                </c:pt>
                <c:pt idx="51">
                  <c:v>1.379E-2</c:v>
                </c:pt>
                <c:pt idx="52" formatCode="0.0000">
                  <c:v>1.294E-2</c:v>
                </c:pt>
                <c:pt idx="53">
                  <c:v>1.213E-2</c:v>
                </c:pt>
                <c:pt idx="54">
                  <c:v>1.137E-2</c:v>
                </c:pt>
                <c:pt idx="55">
                  <c:v>1.065E-2</c:v>
                </c:pt>
                <c:pt idx="56">
                  <c:v>9.9699999999999997E-3</c:v>
                </c:pt>
                <c:pt idx="57">
                  <c:v>9.3299999999999998E-3</c:v>
                </c:pt>
                <c:pt idx="58">
                  <c:v>8.7299999999999999E-3</c:v>
                </c:pt>
                <c:pt idx="59">
                  <c:v>8.1600000000000006E-3</c:v>
                </c:pt>
                <c:pt idx="60">
                  <c:v>7.6299999999999996E-3</c:v>
                </c:pt>
                <c:pt idx="61">
                  <c:v>7.1300000000000001E-3</c:v>
                </c:pt>
                <c:pt idx="62">
                  <c:v>6.6600000000000001E-3</c:v>
                </c:pt>
                <c:pt idx="63">
                  <c:v>6.2100000000000002E-3</c:v>
                </c:pt>
                <c:pt idx="64">
                  <c:v>5.79E-3</c:v>
                </c:pt>
                <c:pt idx="65">
                  <c:v>5.4000000000000003E-3</c:v>
                </c:pt>
                <c:pt idx="66">
                  <c:v>5.0299999999999997E-3</c:v>
                </c:pt>
                <c:pt idx="67">
                  <c:v>4.6899999999999997E-3</c:v>
                </c:pt>
                <c:pt idx="68">
                  <c:v>4.3600000000000002E-3</c:v>
                </c:pt>
                <c:pt idx="69">
                  <c:v>4.0600000000000002E-3</c:v>
                </c:pt>
                <c:pt idx="70">
                  <c:v>3.7699999999999999E-3</c:v>
                </c:pt>
              </c:numCache>
            </c:numRef>
          </c:xVal>
          <c:yVal>
            <c:numRef>
              <c:f>psühromeetria!$B$42:$B$112</c:f>
              <c:numCache>
                <c:formatCode>General</c:formatCode>
                <c:ptCount val="71"/>
                <c:pt idx="0">
                  <c:v>70</c:v>
                </c:pt>
                <c:pt idx="1">
                  <c:v>69</c:v>
                </c:pt>
                <c:pt idx="2">
                  <c:v>68</c:v>
                </c:pt>
                <c:pt idx="3">
                  <c:v>67</c:v>
                </c:pt>
                <c:pt idx="4">
                  <c:v>66</c:v>
                </c:pt>
                <c:pt idx="5">
                  <c:v>65</c:v>
                </c:pt>
                <c:pt idx="6">
                  <c:v>64</c:v>
                </c:pt>
                <c:pt idx="7">
                  <c:v>63</c:v>
                </c:pt>
                <c:pt idx="8">
                  <c:v>62</c:v>
                </c:pt>
                <c:pt idx="9">
                  <c:v>61</c:v>
                </c:pt>
                <c:pt idx="10">
                  <c:v>60</c:v>
                </c:pt>
                <c:pt idx="11">
                  <c:v>59</c:v>
                </c:pt>
                <c:pt idx="12">
                  <c:v>58</c:v>
                </c:pt>
                <c:pt idx="13">
                  <c:v>57</c:v>
                </c:pt>
                <c:pt idx="14">
                  <c:v>56</c:v>
                </c:pt>
                <c:pt idx="15">
                  <c:v>55</c:v>
                </c:pt>
                <c:pt idx="16">
                  <c:v>54</c:v>
                </c:pt>
                <c:pt idx="17">
                  <c:v>53</c:v>
                </c:pt>
                <c:pt idx="18">
                  <c:v>52</c:v>
                </c:pt>
                <c:pt idx="19">
                  <c:v>51</c:v>
                </c:pt>
                <c:pt idx="20">
                  <c:v>50</c:v>
                </c:pt>
                <c:pt idx="21">
                  <c:v>49</c:v>
                </c:pt>
                <c:pt idx="22">
                  <c:v>48</c:v>
                </c:pt>
                <c:pt idx="23">
                  <c:v>47</c:v>
                </c:pt>
                <c:pt idx="24">
                  <c:v>46</c:v>
                </c:pt>
                <c:pt idx="25">
                  <c:v>45</c:v>
                </c:pt>
                <c:pt idx="26">
                  <c:v>44</c:v>
                </c:pt>
                <c:pt idx="27">
                  <c:v>43</c:v>
                </c:pt>
                <c:pt idx="28">
                  <c:v>42</c:v>
                </c:pt>
                <c:pt idx="29">
                  <c:v>41</c:v>
                </c:pt>
                <c:pt idx="30">
                  <c:v>40</c:v>
                </c:pt>
                <c:pt idx="31">
                  <c:v>39</c:v>
                </c:pt>
                <c:pt idx="32">
                  <c:v>38</c:v>
                </c:pt>
                <c:pt idx="33">
                  <c:v>37</c:v>
                </c:pt>
                <c:pt idx="34">
                  <c:v>36</c:v>
                </c:pt>
                <c:pt idx="35">
                  <c:v>35</c:v>
                </c:pt>
                <c:pt idx="36">
                  <c:v>34</c:v>
                </c:pt>
                <c:pt idx="37">
                  <c:v>33</c:v>
                </c:pt>
                <c:pt idx="38">
                  <c:v>32</c:v>
                </c:pt>
                <c:pt idx="39">
                  <c:v>31</c:v>
                </c:pt>
                <c:pt idx="40">
                  <c:v>30</c:v>
                </c:pt>
                <c:pt idx="41">
                  <c:v>29</c:v>
                </c:pt>
                <c:pt idx="42">
                  <c:v>28</c:v>
                </c:pt>
                <c:pt idx="43">
                  <c:v>27</c:v>
                </c:pt>
                <c:pt idx="44">
                  <c:v>26</c:v>
                </c:pt>
                <c:pt idx="45">
                  <c:v>25</c:v>
                </c:pt>
                <c:pt idx="46">
                  <c:v>24</c:v>
                </c:pt>
                <c:pt idx="47">
                  <c:v>23</c:v>
                </c:pt>
                <c:pt idx="48">
                  <c:v>22</c:v>
                </c:pt>
                <c:pt idx="49">
                  <c:v>21</c:v>
                </c:pt>
                <c:pt idx="50">
                  <c:v>20</c:v>
                </c:pt>
                <c:pt idx="51">
                  <c:v>19</c:v>
                </c:pt>
                <c:pt idx="52">
                  <c:v>18</c:v>
                </c:pt>
                <c:pt idx="53">
                  <c:v>17</c:v>
                </c:pt>
                <c:pt idx="54">
                  <c:v>16</c:v>
                </c:pt>
                <c:pt idx="55">
                  <c:v>15</c:v>
                </c:pt>
                <c:pt idx="56">
                  <c:v>14</c:v>
                </c:pt>
                <c:pt idx="57">
                  <c:v>13</c:v>
                </c:pt>
                <c:pt idx="58">
                  <c:v>12</c:v>
                </c:pt>
                <c:pt idx="59">
                  <c:v>11</c:v>
                </c:pt>
                <c:pt idx="60">
                  <c:v>10</c:v>
                </c:pt>
                <c:pt idx="61">
                  <c:v>9</c:v>
                </c:pt>
                <c:pt idx="62">
                  <c:v>8</c:v>
                </c:pt>
                <c:pt idx="63">
                  <c:v>7</c:v>
                </c:pt>
                <c:pt idx="64">
                  <c:v>6</c:v>
                </c:pt>
                <c:pt idx="65">
                  <c:v>5</c:v>
                </c:pt>
                <c:pt idx="66">
                  <c:v>4</c:v>
                </c:pt>
                <c:pt idx="67">
                  <c:v>3</c:v>
                </c:pt>
                <c:pt idx="68">
                  <c:v>2</c:v>
                </c:pt>
                <c:pt idx="69">
                  <c:v>1</c:v>
                </c:pt>
                <c:pt idx="7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D9E-418A-A866-EF8A616335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59590000"/>
        <c:axId val="1959590832"/>
      </c:scatterChart>
      <c:valAx>
        <c:axId val="195959000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t-EE" sz="900" b="0" i="0" baseline="0">
                    <a:effectLst/>
                    <a:latin typeface="+mj-lt"/>
                  </a:rPr>
                  <a:t>Amount of water vapour in dry gas, kg</a:t>
                </a:r>
                <a:r>
                  <a:rPr lang="et-EE" sz="900" b="0" i="0" baseline="-25000">
                    <a:effectLst/>
                    <a:latin typeface="+mj-lt"/>
                  </a:rPr>
                  <a:t>H2O</a:t>
                </a:r>
                <a:r>
                  <a:rPr lang="et-EE" sz="900" b="0" i="0" baseline="0">
                    <a:effectLst/>
                    <a:latin typeface="+mj-lt"/>
                  </a:rPr>
                  <a:t>/kg</a:t>
                </a:r>
                <a:r>
                  <a:rPr lang="et-EE" sz="900" b="0" i="0" baseline="-25000">
                    <a:effectLst/>
                    <a:latin typeface="+mj-lt"/>
                  </a:rPr>
                  <a:t>dry gas </a:t>
                </a:r>
                <a:endParaRPr lang="et-EE" sz="900">
                  <a:effectLst/>
                  <a:latin typeface="+mj-lt"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t-EE"/>
          </a:p>
        </c:txPr>
        <c:crossAx val="1959590832"/>
        <c:crosses val="autoZero"/>
        <c:crossBetween val="midCat"/>
      </c:valAx>
      <c:valAx>
        <c:axId val="1959590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t-EE" sz="900">
                    <a:effectLst/>
                    <a:latin typeface="+mj-lt"/>
                  </a:rPr>
                  <a:t>Gas temperature </a:t>
                </a:r>
                <a:r>
                  <a:rPr lang="et-EE" sz="900">
                    <a:effectLst/>
                    <a:latin typeface="Calibri Light" panose="020F0302020204030204" pitchFamily="34" charset="0"/>
                    <a:cs typeface="Calibri Light" panose="020F0302020204030204" pitchFamily="34" charset="0"/>
                  </a:rPr>
                  <a:t>°C</a:t>
                </a:r>
                <a:endParaRPr lang="et-EE" sz="900">
                  <a:effectLst/>
                  <a:latin typeface="+mj-lt"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t-EE"/>
          </a:p>
        </c:txPr>
        <c:crossAx val="1959590000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/>
      </a:pPr>
      <a:endParaRPr lang="et-EE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1"/>
          <c:order val="0"/>
          <c:spPr>
            <a:ln w="25400">
              <a:noFill/>
            </a:ln>
          </c:spPr>
          <c:marker>
            <c:symbol val="none"/>
          </c:marker>
          <c:xVal>
            <c:numRef>
              <c:f>psühromeetria!$C$42:$C$112</c:f>
              <c:numCache>
                <c:formatCode>General</c:formatCode>
                <c:ptCount val="71"/>
                <c:pt idx="0">
                  <c:v>0.27700000000000002</c:v>
                </c:pt>
                <c:pt idx="1">
                  <c:v>0.26</c:v>
                </c:pt>
                <c:pt idx="2">
                  <c:v>0.245</c:v>
                </c:pt>
                <c:pt idx="3">
                  <c:v>0.23</c:v>
                </c:pt>
                <c:pt idx="4">
                  <c:v>0.217</c:v>
                </c:pt>
                <c:pt idx="5">
                  <c:v>0.20399999999999999</c:v>
                </c:pt>
                <c:pt idx="6">
                  <c:v>0.192</c:v>
                </c:pt>
                <c:pt idx="7">
                  <c:v>0.18099999999999999</c:v>
                </c:pt>
                <c:pt idx="8">
                  <c:v>0.17100000000000001</c:v>
                </c:pt>
                <c:pt idx="9">
                  <c:v>0.161</c:v>
                </c:pt>
                <c:pt idx="10">
                  <c:v>0.152</c:v>
                </c:pt>
                <c:pt idx="11">
                  <c:v>0.14399999999999999</c:v>
                </c:pt>
                <c:pt idx="12">
                  <c:v>0.13600000000000001</c:v>
                </c:pt>
                <c:pt idx="13">
                  <c:v>0.128</c:v>
                </c:pt>
                <c:pt idx="14">
                  <c:v>0.121</c:v>
                </c:pt>
                <c:pt idx="15">
                  <c:v>0.114</c:v>
                </c:pt>
                <c:pt idx="16">
                  <c:v>0.108</c:v>
                </c:pt>
                <c:pt idx="17">
                  <c:v>0.10199999999999999</c:v>
                </c:pt>
                <c:pt idx="18">
                  <c:v>9.6699999999999994E-2</c:v>
                </c:pt>
                <c:pt idx="19">
                  <c:v>9.1399999999999995E-2</c:v>
                </c:pt>
                <c:pt idx="20">
                  <c:v>8.6300000000000002E-2</c:v>
                </c:pt>
                <c:pt idx="21">
                  <c:v>8.1600000000000006E-2</c:v>
                </c:pt>
                <c:pt idx="22">
                  <c:v>7.7100000000000002E-2</c:v>
                </c:pt>
                <c:pt idx="23">
                  <c:v>7.2900000000000006E-2</c:v>
                </c:pt>
                <c:pt idx="24">
                  <c:v>6.88E-2</c:v>
                </c:pt>
                <c:pt idx="25">
                  <c:v>6.5100000000000005E-2</c:v>
                </c:pt>
                <c:pt idx="26">
                  <c:v>6.1499999999999999E-2</c:v>
                </c:pt>
                <c:pt idx="27">
                  <c:v>5.8099999999999999E-2</c:v>
                </c:pt>
                <c:pt idx="28">
                  <c:v>5.4800000000000001E-2</c:v>
                </c:pt>
                <c:pt idx="29">
                  <c:v>5.1799999999999999E-2</c:v>
                </c:pt>
                <c:pt idx="30">
                  <c:v>4.8899999999999999E-2</c:v>
                </c:pt>
                <c:pt idx="31">
                  <c:v>4.6199999999999998E-2</c:v>
                </c:pt>
                <c:pt idx="32">
                  <c:v>4.36E-2</c:v>
                </c:pt>
                <c:pt idx="33">
                  <c:v>4.1099999999999998E-2</c:v>
                </c:pt>
                <c:pt idx="34">
                  <c:v>3.8800000000000001E-2</c:v>
                </c:pt>
                <c:pt idx="35">
                  <c:v>3.6600000000000001E-2</c:v>
                </c:pt>
                <c:pt idx="36">
                  <c:v>3.4500000000000003E-2</c:v>
                </c:pt>
                <c:pt idx="37">
                  <c:v>3.2500000000000001E-2</c:v>
                </c:pt>
                <c:pt idx="38">
                  <c:v>3.0700000000000002E-2</c:v>
                </c:pt>
                <c:pt idx="39">
                  <c:v>2.8899999999999999E-2</c:v>
                </c:pt>
                <c:pt idx="40">
                  <c:v>2.7199999999999998E-2</c:v>
                </c:pt>
                <c:pt idx="41">
                  <c:v>2.5600000000000001E-2</c:v>
                </c:pt>
                <c:pt idx="42">
                  <c:v>2.41E-2</c:v>
                </c:pt>
                <c:pt idx="43">
                  <c:v>2.2700000000000001E-2</c:v>
                </c:pt>
                <c:pt idx="44">
                  <c:v>2.1399999999999999E-2</c:v>
                </c:pt>
                <c:pt idx="45">
                  <c:v>2.01E-2</c:v>
                </c:pt>
                <c:pt idx="46">
                  <c:v>1.89E-2</c:v>
                </c:pt>
                <c:pt idx="47">
                  <c:v>1.77E-2</c:v>
                </c:pt>
                <c:pt idx="48">
                  <c:v>1.67E-2</c:v>
                </c:pt>
                <c:pt idx="49">
                  <c:v>1.5699999999999999E-2</c:v>
                </c:pt>
                <c:pt idx="50">
                  <c:v>1.47E-2</c:v>
                </c:pt>
                <c:pt idx="51">
                  <c:v>1.379E-2</c:v>
                </c:pt>
                <c:pt idx="52" formatCode="0.0000">
                  <c:v>1.294E-2</c:v>
                </c:pt>
                <c:pt idx="53">
                  <c:v>1.213E-2</c:v>
                </c:pt>
                <c:pt idx="54">
                  <c:v>1.137E-2</c:v>
                </c:pt>
                <c:pt idx="55">
                  <c:v>1.065E-2</c:v>
                </c:pt>
                <c:pt idx="56">
                  <c:v>9.9699999999999997E-3</c:v>
                </c:pt>
                <c:pt idx="57">
                  <c:v>9.3299999999999998E-3</c:v>
                </c:pt>
                <c:pt idx="58">
                  <c:v>8.7299999999999999E-3</c:v>
                </c:pt>
                <c:pt idx="59">
                  <c:v>8.1600000000000006E-3</c:v>
                </c:pt>
                <c:pt idx="60">
                  <c:v>7.6299999999999996E-3</c:v>
                </c:pt>
                <c:pt idx="61">
                  <c:v>7.1300000000000001E-3</c:v>
                </c:pt>
                <c:pt idx="62">
                  <c:v>6.6600000000000001E-3</c:v>
                </c:pt>
                <c:pt idx="63">
                  <c:v>6.2100000000000002E-3</c:v>
                </c:pt>
                <c:pt idx="64">
                  <c:v>5.79E-3</c:v>
                </c:pt>
                <c:pt idx="65">
                  <c:v>5.4000000000000003E-3</c:v>
                </c:pt>
                <c:pt idx="66">
                  <c:v>5.0299999999999997E-3</c:v>
                </c:pt>
                <c:pt idx="67">
                  <c:v>4.6899999999999997E-3</c:v>
                </c:pt>
                <c:pt idx="68">
                  <c:v>4.3600000000000002E-3</c:v>
                </c:pt>
                <c:pt idx="69">
                  <c:v>4.0600000000000002E-3</c:v>
                </c:pt>
                <c:pt idx="70">
                  <c:v>3.7699999999999999E-3</c:v>
                </c:pt>
              </c:numCache>
            </c:numRef>
          </c:xVal>
          <c:yVal>
            <c:numRef>
              <c:f>psühromeetria!$B$42:$B$112</c:f>
              <c:numCache>
                <c:formatCode>General</c:formatCode>
                <c:ptCount val="71"/>
                <c:pt idx="0">
                  <c:v>70</c:v>
                </c:pt>
                <c:pt idx="1">
                  <c:v>69</c:v>
                </c:pt>
                <c:pt idx="2">
                  <c:v>68</c:v>
                </c:pt>
                <c:pt idx="3">
                  <c:v>67</c:v>
                </c:pt>
                <c:pt idx="4">
                  <c:v>66</c:v>
                </c:pt>
                <c:pt idx="5">
                  <c:v>65</c:v>
                </c:pt>
                <c:pt idx="6">
                  <c:v>64</c:v>
                </c:pt>
                <c:pt idx="7">
                  <c:v>63</c:v>
                </c:pt>
                <c:pt idx="8">
                  <c:v>62</c:v>
                </c:pt>
                <c:pt idx="9">
                  <c:v>61</c:v>
                </c:pt>
                <c:pt idx="10">
                  <c:v>60</c:v>
                </c:pt>
                <c:pt idx="11">
                  <c:v>59</c:v>
                </c:pt>
                <c:pt idx="12">
                  <c:v>58</c:v>
                </c:pt>
                <c:pt idx="13">
                  <c:v>57</c:v>
                </c:pt>
                <c:pt idx="14">
                  <c:v>56</c:v>
                </c:pt>
                <c:pt idx="15">
                  <c:v>55</c:v>
                </c:pt>
                <c:pt idx="16">
                  <c:v>54</c:v>
                </c:pt>
                <c:pt idx="17">
                  <c:v>53</c:v>
                </c:pt>
                <c:pt idx="18">
                  <c:v>52</c:v>
                </c:pt>
                <c:pt idx="19">
                  <c:v>51</c:v>
                </c:pt>
                <c:pt idx="20">
                  <c:v>50</c:v>
                </c:pt>
                <c:pt idx="21">
                  <c:v>49</c:v>
                </c:pt>
                <c:pt idx="22">
                  <c:v>48</c:v>
                </c:pt>
                <c:pt idx="23">
                  <c:v>47</c:v>
                </c:pt>
                <c:pt idx="24">
                  <c:v>46</c:v>
                </c:pt>
                <c:pt idx="25">
                  <c:v>45</c:v>
                </c:pt>
                <c:pt idx="26">
                  <c:v>44</c:v>
                </c:pt>
                <c:pt idx="27">
                  <c:v>43</c:v>
                </c:pt>
                <c:pt idx="28">
                  <c:v>42</c:v>
                </c:pt>
                <c:pt idx="29">
                  <c:v>41</c:v>
                </c:pt>
                <c:pt idx="30">
                  <c:v>40</c:v>
                </c:pt>
                <c:pt idx="31">
                  <c:v>39</c:v>
                </c:pt>
                <c:pt idx="32">
                  <c:v>38</c:v>
                </c:pt>
                <c:pt idx="33">
                  <c:v>37</c:v>
                </c:pt>
                <c:pt idx="34">
                  <c:v>36</c:v>
                </c:pt>
                <c:pt idx="35">
                  <c:v>35</c:v>
                </c:pt>
                <c:pt idx="36">
                  <c:v>34</c:v>
                </c:pt>
                <c:pt idx="37">
                  <c:v>33</c:v>
                </c:pt>
                <c:pt idx="38">
                  <c:v>32</c:v>
                </c:pt>
                <c:pt idx="39">
                  <c:v>31</c:v>
                </c:pt>
                <c:pt idx="40">
                  <c:v>30</c:v>
                </c:pt>
                <c:pt idx="41">
                  <c:v>29</c:v>
                </c:pt>
                <c:pt idx="42">
                  <c:v>28</c:v>
                </c:pt>
                <c:pt idx="43">
                  <c:v>27</c:v>
                </c:pt>
                <c:pt idx="44">
                  <c:v>26</c:v>
                </c:pt>
                <c:pt idx="45">
                  <c:v>25</c:v>
                </c:pt>
                <c:pt idx="46">
                  <c:v>24</c:v>
                </c:pt>
                <c:pt idx="47">
                  <c:v>23</c:v>
                </c:pt>
                <c:pt idx="48">
                  <c:v>22</c:v>
                </c:pt>
                <c:pt idx="49">
                  <c:v>21</c:v>
                </c:pt>
                <c:pt idx="50">
                  <c:v>20</c:v>
                </c:pt>
                <c:pt idx="51">
                  <c:v>19</c:v>
                </c:pt>
                <c:pt idx="52">
                  <c:v>18</c:v>
                </c:pt>
                <c:pt idx="53">
                  <c:v>17</c:v>
                </c:pt>
                <c:pt idx="54">
                  <c:v>16</c:v>
                </c:pt>
                <c:pt idx="55">
                  <c:v>15</c:v>
                </c:pt>
                <c:pt idx="56">
                  <c:v>14</c:v>
                </c:pt>
                <c:pt idx="57">
                  <c:v>13</c:v>
                </c:pt>
                <c:pt idx="58">
                  <c:v>12</c:v>
                </c:pt>
                <c:pt idx="59">
                  <c:v>11</c:v>
                </c:pt>
                <c:pt idx="60">
                  <c:v>10</c:v>
                </c:pt>
                <c:pt idx="61">
                  <c:v>9</c:v>
                </c:pt>
                <c:pt idx="62">
                  <c:v>8</c:v>
                </c:pt>
                <c:pt idx="63">
                  <c:v>7</c:v>
                </c:pt>
                <c:pt idx="64">
                  <c:v>6</c:v>
                </c:pt>
                <c:pt idx="65">
                  <c:v>5</c:v>
                </c:pt>
                <c:pt idx="66">
                  <c:v>4</c:v>
                </c:pt>
                <c:pt idx="67">
                  <c:v>3</c:v>
                </c:pt>
                <c:pt idx="68">
                  <c:v>2</c:v>
                </c:pt>
                <c:pt idx="69">
                  <c:v>1</c:v>
                </c:pt>
                <c:pt idx="7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BAD-4A97-AED5-65A4E8308C5A}"/>
            </c:ext>
          </c:extLst>
        </c:ser>
        <c:ser>
          <c:idx val="0"/>
          <c:order val="1"/>
          <c:spPr>
            <a:ln w="25400" cap="rnd">
              <a:noFill/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olid"/>
              </a:ln>
              <a:effectLst/>
            </c:spPr>
            <c:trendlineType val="movingAvg"/>
            <c:period val="2"/>
            <c:dispRSqr val="0"/>
            <c:dispEq val="0"/>
          </c:trendline>
          <c:xVal>
            <c:numRef>
              <c:f>psühromeetria!$C$42:$C$112</c:f>
              <c:numCache>
                <c:formatCode>General</c:formatCode>
                <c:ptCount val="71"/>
                <c:pt idx="0">
                  <c:v>0.27700000000000002</c:v>
                </c:pt>
                <c:pt idx="1">
                  <c:v>0.26</c:v>
                </c:pt>
                <c:pt idx="2">
                  <c:v>0.245</c:v>
                </c:pt>
                <c:pt idx="3">
                  <c:v>0.23</c:v>
                </c:pt>
                <c:pt idx="4">
                  <c:v>0.217</c:v>
                </c:pt>
                <c:pt idx="5">
                  <c:v>0.20399999999999999</c:v>
                </c:pt>
                <c:pt idx="6">
                  <c:v>0.192</c:v>
                </c:pt>
                <c:pt idx="7">
                  <c:v>0.18099999999999999</c:v>
                </c:pt>
                <c:pt idx="8">
                  <c:v>0.17100000000000001</c:v>
                </c:pt>
                <c:pt idx="9">
                  <c:v>0.161</c:v>
                </c:pt>
                <c:pt idx="10">
                  <c:v>0.152</c:v>
                </c:pt>
                <c:pt idx="11">
                  <c:v>0.14399999999999999</c:v>
                </c:pt>
                <c:pt idx="12">
                  <c:v>0.13600000000000001</c:v>
                </c:pt>
                <c:pt idx="13">
                  <c:v>0.128</c:v>
                </c:pt>
                <c:pt idx="14">
                  <c:v>0.121</c:v>
                </c:pt>
                <c:pt idx="15">
                  <c:v>0.114</c:v>
                </c:pt>
                <c:pt idx="16">
                  <c:v>0.108</c:v>
                </c:pt>
                <c:pt idx="17">
                  <c:v>0.10199999999999999</c:v>
                </c:pt>
                <c:pt idx="18">
                  <c:v>9.6699999999999994E-2</c:v>
                </c:pt>
                <c:pt idx="19">
                  <c:v>9.1399999999999995E-2</c:v>
                </c:pt>
                <c:pt idx="20">
                  <c:v>8.6300000000000002E-2</c:v>
                </c:pt>
                <c:pt idx="21">
                  <c:v>8.1600000000000006E-2</c:v>
                </c:pt>
                <c:pt idx="22">
                  <c:v>7.7100000000000002E-2</c:v>
                </c:pt>
                <c:pt idx="23">
                  <c:v>7.2900000000000006E-2</c:v>
                </c:pt>
                <c:pt idx="24">
                  <c:v>6.88E-2</c:v>
                </c:pt>
                <c:pt idx="25">
                  <c:v>6.5100000000000005E-2</c:v>
                </c:pt>
                <c:pt idx="26">
                  <c:v>6.1499999999999999E-2</c:v>
                </c:pt>
                <c:pt idx="27">
                  <c:v>5.8099999999999999E-2</c:v>
                </c:pt>
                <c:pt idx="28">
                  <c:v>5.4800000000000001E-2</c:v>
                </c:pt>
                <c:pt idx="29">
                  <c:v>5.1799999999999999E-2</c:v>
                </c:pt>
                <c:pt idx="30">
                  <c:v>4.8899999999999999E-2</c:v>
                </c:pt>
                <c:pt idx="31">
                  <c:v>4.6199999999999998E-2</c:v>
                </c:pt>
                <c:pt idx="32">
                  <c:v>4.36E-2</c:v>
                </c:pt>
                <c:pt idx="33">
                  <c:v>4.1099999999999998E-2</c:v>
                </c:pt>
                <c:pt idx="34">
                  <c:v>3.8800000000000001E-2</c:v>
                </c:pt>
                <c:pt idx="35">
                  <c:v>3.6600000000000001E-2</c:v>
                </c:pt>
                <c:pt idx="36">
                  <c:v>3.4500000000000003E-2</c:v>
                </c:pt>
                <c:pt idx="37">
                  <c:v>3.2500000000000001E-2</c:v>
                </c:pt>
                <c:pt idx="38">
                  <c:v>3.0700000000000002E-2</c:v>
                </c:pt>
                <c:pt idx="39">
                  <c:v>2.8899999999999999E-2</c:v>
                </c:pt>
                <c:pt idx="40">
                  <c:v>2.7199999999999998E-2</c:v>
                </c:pt>
                <c:pt idx="41">
                  <c:v>2.5600000000000001E-2</c:v>
                </c:pt>
                <c:pt idx="42">
                  <c:v>2.41E-2</c:v>
                </c:pt>
                <c:pt idx="43">
                  <c:v>2.2700000000000001E-2</c:v>
                </c:pt>
                <c:pt idx="44">
                  <c:v>2.1399999999999999E-2</c:v>
                </c:pt>
                <c:pt idx="45">
                  <c:v>2.01E-2</c:v>
                </c:pt>
                <c:pt idx="46">
                  <c:v>1.89E-2</c:v>
                </c:pt>
                <c:pt idx="47">
                  <c:v>1.77E-2</c:v>
                </c:pt>
                <c:pt idx="48">
                  <c:v>1.67E-2</c:v>
                </c:pt>
                <c:pt idx="49">
                  <c:v>1.5699999999999999E-2</c:v>
                </c:pt>
                <c:pt idx="50">
                  <c:v>1.47E-2</c:v>
                </c:pt>
                <c:pt idx="51">
                  <c:v>1.379E-2</c:v>
                </c:pt>
                <c:pt idx="52" formatCode="0.0000">
                  <c:v>1.294E-2</c:v>
                </c:pt>
                <c:pt idx="53">
                  <c:v>1.213E-2</c:v>
                </c:pt>
                <c:pt idx="54">
                  <c:v>1.137E-2</c:v>
                </c:pt>
                <c:pt idx="55">
                  <c:v>1.065E-2</c:v>
                </c:pt>
                <c:pt idx="56">
                  <c:v>9.9699999999999997E-3</c:v>
                </c:pt>
                <c:pt idx="57">
                  <c:v>9.3299999999999998E-3</c:v>
                </c:pt>
                <c:pt idx="58">
                  <c:v>8.7299999999999999E-3</c:v>
                </c:pt>
                <c:pt idx="59">
                  <c:v>8.1600000000000006E-3</c:v>
                </c:pt>
                <c:pt idx="60">
                  <c:v>7.6299999999999996E-3</c:v>
                </c:pt>
                <c:pt idx="61">
                  <c:v>7.1300000000000001E-3</c:v>
                </c:pt>
                <c:pt idx="62">
                  <c:v>6.6600000000000001E-3</c:v>
                </c:pt>
                <c:pt idx="63">
                  <c:v>6.2100000000000002E-3</c:v>
                </c:pt>
                <c:pt idx="64">
                  <c:v>5.79E-3</c:v>
                </c:pt>
                <c:pt idx="65">
                  <c:v>5.4000000000000003E-3</c:v>
                </c:pt>
                <c:pt idx="66">
                  <c:v>5.0299999999999997E-3</c:v>
                </c:pt>
                <c:pt idx="67">
                  <c:v>4.6899999999999997E-3</c:v>
                </c:pt>
                <c:pt idx="68">
                  <c:v>4.3600000000000002E-3</c:v>
                </c:pt>
                <c:pt idx="69">
                  <c:v>4.0600000000000002E-3</c:v>
                </c:pt>
                <c:pt idx="70">
                  <c:v>3.7699999999999999E-3</c:v>
                </c:pt>
              </c:numCache>
            </c:numRef>
          </c:xVal>
          <c:yVal>
            <c:numRef>
              <c:f>psühromeetria!$B$42:$B$112</c:f>
              <c:numCache>
                <c:formatCode>General</c:formatCode>
                <c:ptCount val="71"/>
                <c:pt idx="0">
                  <c:v>70</c:v>
                </c:pt>
                <c:pt idx="1">
                  <c:v>69</c:v>
                </c:pt>
                <c:pt idx="2">
                  <c:v>68</c:v>
                </c:pt>
                <c:pt idx="3">
                  <c:v>67</c:v>
                </c:pt>
                <c:pt idx="4">
                  <c:v>66</c:v>
                </c:pt>
                <c:pt idx="5">
                  <c:v>65</c:v>
                </c:pt>
                <c:pt idx="6">
                  <c:v>64</c:v>
                </c:pt>
                <c:pt idx="7">
                  <c:v>63</c:v>
                </c:pt>
                <c:pt idx="8">
                  <c:v>62</c:v>
                </c:pt>
                <c:pt idx="9">
                  <c:v>61</c:v>
                </c:pt>
                <c:pt idx="10">
                  <c:v>60</c:v>
                </c:pt>
                <c:pt idx="11">
                  <c:v>59</c:v>
                </c:pt>
                <c:pt idx="12">
                  <c:v>58</c:v>
                </c:pt>
                <c:pt idx="13">
                  <c:v>57</c:v>
                </c:pt>
                <c:pt idx="14">
                  <c:v>56</c:v>
                </c:pt>
                <c:pt idx="15">
                  <c:v>55</c:v>
                </c:pt>
                <c:pt idx="16">
                  <c:v>54</c:v>
                </c:pt>
                <c:pt idx="17">
                  <c:v>53</c:v>
                </c:pt>
                <c:pt idx="18">
                  <c:v>52</c:v>
                </c:pt>
                <c:pt idx="19">
                  <c:v>51</c:v>
                </c:pt>
                <c:pt idx="20">
                  <c:v>50</c:v>
                </c:pt>
                <c:pt idx="21">
                  <c:v>49</c:v>
                </c:pt>
                <c:pt idx="22">
                  <c:v>48</c:v>
                </c:pt>
                <c:pt idx="23">
                  <c:v>47</c:v>
                </c:pt>
                <c:pt idx="24">
                  <c:v>46</c:v>
                </c:pt>
                <c:pt idx="25">
                  <c:v>45</c:v>
                </c:pt>
                <c:pt idx="26">
                  <c:v>44</c:v>
                </c:pt>
                <c:pt idx="27">
                  <c:v>43</c:v>
                </c:pt>
                <c:pt idx="28">
                  <c:v>42</c:v>
                </c:pt>
                <c:pt idx="29">
                  <c:v>41</c:v>
                </c:pt>
                <c:pt idx="30">
                  <c:v>40</c:v>
                </c:pt>
                <c:pt idx="31">
                  <c:v>39</c:v>
                </c:pt>
                <c:pt idx="32">
                  <c:v>38</c:v>
                </c:pt>
                <c:pt idx="33">
                  <c:v>37</c:v>
                </c:pt>
                <c:pt idx="34">
                  <c:v>36</c:v>
                </c:pt>
                <c:pt idx="35">
                  <c:v>35</c:v>
                </c:pt>
                <c:pt idx="36">
                  <c:v>34</c:v>
                </c:pt>
                <c:pt idx="37">
                  <c:v>33</c:v>
                </c:pt>
                <c:pt idx="38">
                  <c:v>32</c:v>
                </c:pt>
                <c:pt idx="39">
                  <c:v>31</c:v>
                </c:pt>
                <c:pt idx="40">
                  <c:v>30</c:v>
                </c:pt>
                <c:pt idx="41">
                  <c:v>29</c:v>
                </c:pt>
                <c:pt idx="42">
                  <c:v>28</c:v>
                </c:pt>
                <c:pt idx="43">
                  <c:v>27</c:v>
                </c:pt>
                <c:pt idx="44">
                  <c:v>26</c:v>
                </c:pt>
                <c:pt idx="45">
                  <c:v>25</c:v>
                </c:pt>
                <c:pt idx="46">
                  <c:v>24</c:v>
                </c:pt>
                <c:pt idx="47">
                  <c:v>23</c:v>
                </c:pt>
                <c:pt idx="48">
                  <c:v>22</c:v>
                </c:pt>
                <c:pt idx="49">
                  <c:v>21</c:v>
                </c:pt>
                <c:pt idx="50">
                  <c:v>20</c:v>
                </c:pt>
                <c:pt idx="51">
                  <c:v>19</c:v>
                </c:pt>
                <c:pt idx="52">
                  <c:v>18</c:v>
                </c:pt>
                <c:pt idx="53">
                  <c:v>17</c:v>
                </c:pt>
                <c:pt idx="54">
                  <c:v>16</c:v>
                </c:pt>
                <c:pt idx="55">
                  <c:v>15</c:v>
                </c:pt>
                <c:pt idx="56">
                  <c:v>14</c:v>
                </c:pt>
                <c:pt idx="57">
                  <c:v>13</c:v>
                </c:pt>
                <c:pt idx="58">
                  <c:v>12</c:v>
                </c:pt>
                <c:pt idx="59">
                  <c:v>11</c:v>
                </c:pt>
                <c:pt idx="60">
                  <c:v>10</c:v>
                </c:pt>
                <c:pt idx="61">
                  <c:v>9</c:v>
                </c:pt>
                <c:pt idx="62">
                  <c:v>8</c:v>
                </c:pt>
                <c:pt idx="63">
                  <c:v>7</c:v>
                </c:pt>
                <c:pt idx="64">
                  <c:v>6</c:v>
                </c:pt>
                <c:pt idx="65">
                  <c:v>5</c:v>
                </c:pt>
                <c:pt idx="66">
                  <c:v>4</c:v>
                </c:pt>
                <c:pt idx="67">
                  <c:v>3</c:v>
                </c:pt>
                <c:pt idx="68">
                  <c:v>2</c:v>
                </c:pt>
                <c:pt idx="69">
                  <c:v>1</c:v>
                </c:pt>
                <c:pt idx="7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BAD-4A97-AED5-65A4E8308C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59590000"/>
        <c:axId val="1959590832"/>
      </c:scatterChart>
      <c:valAx>
        <c:axId val="195959000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t-EE" sz="900" b="0" i="0" baseline="0">
                    <a:effectLst/>
                    <a:latin typeface="+mj-lt"/>
                  </a:rPr>
                  <a:t>küllastava veeauru kogus, m</a:t>
                </a:r>
                <a:r>
                  <a:rPr lang="et-EE" sz="900" b="0" i="0" baseline="-25000">
                    <a:effectLst/>
                    <a:latin typeface="+mj-lt"/>
                  </a:rPr>
                  <a:t>H2O</a:t>
                </a:r>
                <a:r>
                  <a:rPr lang="et-EE" sz="900" b="0" i="0" baseline="0">
                    <a:effectLst/>
                    <a:latin typeface="+mj-lt"/>
                  </a:rPr>
                  <a:t>/m</a:t>
                </a:r>
                <a:r>
                  <a:rPr lang="et-EE" sz="900" b="0" i="0" baseline="-25000">
                    <a:effectLst/>
                    <a:latin typeface="+mj-lt"/>
                  </a:rPr>
                  <a:t>kuiv </a:t>
                </a:r>
                <a:endParaRPr lang="et-EE" sz="900">
                  <a:effectLst/>
                  <a:latin typeface="+mj-lt"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t-EE"/>
          </a:p>
        </c:txPr>
        <c:crossAx val="1959590832"/>
        <c:crosses val="autoZero"/>
        <c:crossBetween val="midCat"/>
      </c:valAx>
      <c:valAx>
        <c:axId val="1959590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t-EE" sz="900">
                    <a:effectLst/>
                    <a:latin typeface="+mj-lt"/>
                  </a:rPr>
                  <a:t>Gaasisegu temperatuur </a:t>
                </a:r>
                <a:r>
                  <a:rPr lang="et-EE" sz="900">
                    <a:effectLst/>
                    <a:latin typeface="Calibri Light" panose="020F0302020204030204" pitchFamily="34" charset="0"/>
                    <a:cs typeface="Calibri Light" panose="020F0302020204030204" pitchFamily="34" charset="0"/>
                  </a:rPr>
                  <a:t>°C</a:t>
                </a:r>
                <a:endParaRPr lang="et-EE" sz="900">
                  <a:effectLst/>
                  <a:latin typeface="+mj-lt"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t-EE"/>
          </a:p>
        </c:txPr>
        <c:crossAx val="1959590000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/>
      </a:pPr>
      <a:endParaRPr lang="et-EE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2603912829462801E-2"/>
          <c:y val="4.1694737647099515E-2"/>
          <c:w val="0.74224083968036214"/>
          <c:h val="0.83194078510131952"/>
        </c:manualLayout>
      </c:layout>
      <c:scatterChart>
        <c:scatterStyle val="lineMarker"/>
        <c:varyColors val="0"/>
        <c:ser>
          <c:idx val="5"/>
          <c:order val="0"/>
          <c:tx>
            <c:v>mH2O = 60 %</c:v>
          </c:tx>
          <c:spPr>
            <a:ln w="2540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xVal>
            <c:numRef>
              <c:f>tabelid!$B$5:$B$30</c:f>
              <c:numCache>
                <c:formatCode>General</c:formatCode>
                <c:ptCount val="26"/>
                <c:pt idx="0">
                  <c:v>80</c:v>
                </c:pt>
                <c:pt idx="1">
                  <c:v>78</c:v>
                </c:pt>
                <c:pt idx="2">
                  <c:v>76</c:v>
                </c:pt>
                <c:pt idx="3">
                  <c:v>74</c:v>
                </c:pt>
                <c:pt idx="4">
                  <c:v>72</c:v>
                </c:pt>
                <c:pt idx="5">
                  <c:v>70</c:v>
                </c:pt>
                <c:pt idx="6">
                  <c:v>68</c:v>
                </c:pt>
                <c:pt idx="7">
                  <c:v>66</c:v>
                </c:pt>
                <c:pt idx="8">
                  <c:v>64</c:v>
                </c:pt>
                <c:pt idx="9">
                  <c:v>62</c:v>
                </c:pt>
                <c:pt idx="10">
                  <c:v>60</c:v>
                </c:pt>
                <c:pt idx="11">
                  <c:v>58</c:v>
                </c:pt>
                <c:pt idx="12">
                  <c:v>56</c:v>
                </c:pt>
                <c:pt idx="13">
                  <c:v>54</c:v>
                </c:pt>
                <c:pt idx="14">
                  <c:v>52</c:v>
                </c:pt>
                <c:pt idx="15">
                  <c:v>50</c:v>
                </c:pt>
                <c:pt idx="16">
                  <c:v>48</c:v>
                </c:pt>
                <c:pt idx="17">
                  <c:v>46</c:v>
                </c:pt>
                <c:pt idx="18">
                  <c:v>44</c:v>
                </c:pt>
                <c:pt idx="19">
                  <c:v>42</c:v>
                </c:pt>
                <c:pt idx="20">
                  <c:v>40</c:v>
                </c:pt>
                <c:pt idx="21">
                  <c:v>38</c:v>
                </c:pt>
                <c:pt idx="22">
                  <c:v>36</c:v>
                </c:pt>
                <c:pt idx="23">
                  <c:v>34</c:v>
                </c:pt>
                <c:pt idx="24">
                  <c:v>32</c:v>
                </c:pt>
                <c:pt idx="25">
                  <c:v>30</c:v>
                </c:pt>
              </c:numCache>
            </c:numRef>
          </c:xVal>
          <c:yVal>
            <c:numRef>
              <c:f>tabelid!$T$5:$T$30</c:f>
              <c:numCache>
                <c:formatCode>0%</c:formatCode>
                <c:ptCount val="2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4.5890542656852905E-2</c:v>
                </c:pt>
                <c:pt idx="5">
                  <c:v>9.1631561986956045E-2</c:v>
                </c:pt>
                <c:pt idx="6">
                  <c:v>0.13004968067935643</c:v>
                </c:pt>
                <c:pt idx="7">
                  <c:v>0.16533140185214951</c:v>
                </c:pt>
                <c:pt idx="8">
                  <c:v>0.19543057851217491</c:v>
                </c:pt>
                <c:pt idx="9">
                  <c:v>0.22166243962068086</c:v>
                </c:pt>
                <c:pt idx="10">
                  <c:v>0.24554642704554186</c:v>
                </c:pt>
                <c:pt idx="11">
                  <c:v>0.26507835611956232</c:v>
                </c:pt>
                <c:pt idx="12">
                  <c:v>0.28441693255638045</c:v>
                </c:pt>
                <c:pt idx="13">
                  <c:v>0.30049413860478563</c:v>
                </c:pt>
                <c:pt idx="14">
                  <c:v>0.31488731343027604</c:v>
                </c:pt>
                <c:pt idx="15">
                  <c:v>0.32832623159339802</c:v>
                </c:pt>
                <c:pt idx="16">
                  <c:v>0.33999399351487875</c:v>
                </c:pt>
                <c:pt idx="17">
                  <c:v>0.35073013985509405</c:v>
                </c:pt>
                <c:pt idx="18">
                  <c:v>0.36023292857666944</c:v>
                </c:pt>
                <c:pt idx="19">
                  <c:v>0.36915767941446731</c:v>
                </c:pt>
                <c:pt idx="20">
                  <c:v>0.37716780527912946</c:v>
                </c:pt>
                <c:pt idx="21">
                  <c:v>0.38405982469411726</c:v>
                </c:pt>
                <c:pt idx="22">
                  <c:v>0.39072002937675004</c:v>
                </c:pt>
                <c:pt idx="23">
                  <c:v>0.39631785231944477</c:v>
                </c:pt>
                <c:pt idx="24">
                  <c:v>0.40164141160234734</c:v>
                </c:pt>
                <c:pt idx="25">
                  <c:v>0.40693689759919793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2130-47EC-BE3E-9AEAF5B38E32}"/>
            </c:ext>
          </c:extLst>
        </c:ser>
        <c:ser>
          <c:idx val="4"/>
          <c:order val="1"/>
          <c:tx>
            <c:v>mH2O = 55 %</c:v>
          </c:tx>
          <c:spPr>
            <a:ln w="25400" cap="rnd">
              <a:solidFill>
                <a:schemeClr val="accent5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xVal>
            <c:numRef>
              <c:f>tabelid!$B$5:$B$30</c:f>
              <c:numCache>
                <c:formatCode>General</c:formatCode>
                <c:ptCount val="26"/>
                <c:pt idx="0">
                  <c:v>80</c:v>
                </c:pt>
                <c:pt idx="1">
                  <c:v>78</c:v>
                </c:pt>
                <c:pt idx="2">
                  <c:v>76</c:v>
                </c:pt>
                <c:pt idx="3">
                  <c:v>74</c:v>
                </c:pt>
                <c:pt idx="4">
                  <c:v>72</c:v>
                </c:pt>
                <c:pt idx="5">
                  <c:v>70</c:v>
                </c:pt>
                <c:pt idx="6">
                  <c:v>68</c:v>
                </c:pt>
                <c:pt idx="7">
                  <c:v>66</c:v>
                </c:pt>
                <c:pt idx="8">
                  <c:v>64</c:v>
                </c:pt>
                <c:pt idx="9">
                  <c:v>62</c:v>
                </c:pt>
                <c:pt idx="10">
                  <c:v>60</c:v>
                </c:pt>
                <c:pt idx="11">
                  <c:v>58</c:v>
                </c:pt>
                <c:pt idx="12">
                  <c:v>56</c:v>
                </c:pt>
                <c:pt idx="13">
                  <c:v>54</c:v>
                </c:pt>
                <c:pt idx="14">
                  <c:v>52</c:v>
                </c:pt>
                <c:pt idx="15">
                  <c:v>50</c:v>
                </c:pt>
                <c:pt idx="16">
                  <c:v>48</c:v>
                </c:pt>
                <c:pt idx="17">
                  <c:v>46</c:v>
                </c:pt>
                <c:pt idx="18">
                  <c:v>44</c:v>
                </c:pt>
                <c:pt idx="19">
                  <c:v>42</c:v>
                </c:pt>
                <c:pt idx="20">
                  <c:v>40</c:v>
                </c:pt>
                <c:pt idx="21">
                  <c:v>38</c:v>
                </c:pt>
                <c:pt idx="22">
                  <c:v>36</c:v>
                </c:pt>
                <c:pt idx="23">
                  <c:v>34</c:v>
                </c:pt>
                <c:pt idx="24">
                  <c:v>32</c:v>
                </c:pt>
                <c:pt idx="25">
                  <c:v>30</c:v>
                </c:pt>
              </c:numCache>
            </c:numRef>
          </c:xVal>
          <c:yVal>
            <c:numRef>
              <c:f>tabelid!$R$5:$R$30</c:f>
              <c:numCache>
                <c:formatCode>0%</c:formatCode>
                <c:ptCount val="2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4.1729689772097324E-2</c:v>
                </c:pt>
                <c:pt idx="6">
                  <c:v>7.8561091065238398E-2</c:v>
                </c:pt>
                <c:pt idx="7">
                  <c:v>0.11173942880163877</c:v>
                </c:pt>
                <c:pt idx="8">
                  <c:v>0.14075570821205427</c:v>
                </c:pt>
                <c:pt idx="9">
                  <c:v>0.16621616456811805</c:v>
                </c:pt>
                <c:pt idx="10">
                  <c:v>0.18891715398959344</c:v>
                </c:pt>
                <c:pt idx="11">
                  <c:v>0.20782823835977932</c:v>
                </c:pt>
                <c:pt idx="12">
                  <c:v>0.22590394677238904</c:v>
                </c:pt>
                <c:pt idx="13">
                  <c:v>0.24151090643934953</c:v>
                </c:pt>
                <c:pt idx="14">
                  <c:v>0.25536915838917457</c:v>
                </c:pt>
                <c:pt idx="15">
                  <c:v>0.26840676475785386</c:v>
                </c:pt>
                <c:pt idx="16">
                  <c:v>0.27914873217820779</c:v>
                </c:pt>
                <c:pt idx="17">
                  <c:v>0.28987910599072492</c:v>
                </c:pt>
                <c:pt idx="18">
                  <c:v>0.29878269020776616</c:v>
                </c:pt>
                <c:pt idx="19">
                  <c:v>0.30722657802112091</c:v>
                </c:pt>
                <c:pt idx="20">
                  <c:v>0.31488827882773107</c:v>
                </c:pt>
                <c:pt idx="21">
                  <c:v>0.32157172116745103</c:v>
                </c:pt>
                <c:pt idx="22">
                  <c:v>0.32771319734401472</c:v>
                </c:pt>
                <c:pt idx="23">
                  <c:v>0.33329636715516503</c:v>
                </c:pt>
                <c:pt idx="24">
                  <c:v>0.3386631834307301</c:v>
                </c:pt>
                <c:pt idx="25">
                  <c:v>0.34363670269843738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2130-47EC-BE3E-9AEAF5B38E32}"/>
            </c:ext>
          </c:extLst>
        </c:ser>
        <c:ser>
          <c:idx val="3"/>
          <c:order val="2"/>
          <c:tx>
            <c:v>mH2O = 50 %</c:v>
          </c:tx>
          <c:spPr>
            <a:ln w="2540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xVal>
            <c:numRef>
              <c:f>tabelid!$B$5:$B$30</c:f>
              <c:numCache>
                <c:formatCode>General</c:formatCode>
                <c:ptCount val="26"/>
                <c:pt idx="0">
                  <c:v>80</c:v>
                </c:pt>
                <c:pt idx="1">
                  <c:v>78</c:v>
                </c:pt>
                <c:pt idx="2">
                  <c:v>76</c:v>
                </c:pt>
                <c:pt idx="3">
                  <c:v>74</c:v>
                </c:pt>
                <c:pt idx="4">
                  <c:v>72</c:v>
                </c:pt>
                <c:pt idx="5">
                  <c:v>70</c:v>
                </c:pt>
                <c:pt idx="6">
                  <c:v>68</c:v>
                </c:pt>
                <c:pt idx="7">
                  <c:v>66</c:v>
                </c:pt>
                <c:pt idx="8">
                  <c:v>64</c:v>
                </c:pt>
                <c:pt idx="9">
                  <c:v>62</c:v>
                </c:pt>
                <c:pt idx="10">
                  <c:v>60</c:v>
                </c:pt>
                <c:pt idx="11">
                  <c:v>58</c:v>
                </c:pt>
                <c:pt idx="12">
                  <c:v>56</c:v>
                </c:pt>
                <c:pt idx="13">
                  <c:v>54</c:v>
                </c:pt>
                <c:pt idx="14">
                  <c:v>52</c:v>
                </c:pt>
                <c:pt idx="15">
                  <c:v>50</c:v>
                </c:pt>
                <c:pt idx="16">
                  <c:v>48</c:v>
                </c:pt>
                <c:pt idx="17">
                  <c:v>46</c:v>
                </c:pt>
                <c:pt idx="18">
                  <c:v>44</c:v>
                </c:pt>
                <c:pt idx="19">
                  <c:v>42</c:v>
                </c:pt>
                <c:pt idx="20">
                  <c:v>40</c:v>
                </c:pt>
                <c:pt idx="21">
                  <c:v>38</c:v>
                </c:pt>
                <c:pt idx="22">
                  <c:v>36</c:v>
                </c:pt>
                <c:pt idx="23">
                  <c:v>34</c:v>
                </c:pt>
                <c:pt idx="24">
                  <c:v>32</c:v>
                </c:pt>
                <c:pt idx="25">
                  <c:v>30</c:v>
                </c:pt>
              </c:numCache>
            </c:numRef>
          </c:xVal>
          <c:yVal>
            <c:numRef>
              <c:f>tabelid!$P$5:$P$30</c:f>
              <c:numCache>
                <c:formatCode>0%</c:formatCode>
                <c:ptCount val="2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3.2146008696035439E-3</c:v>
                </c:pt>
                <c:pt idx="6">
                  <c:v>3.8872755661639585E-2</c:v>
                </c:pt>
                <c:pt idx="7">
                  <c:v>7.114826705893125E-2</c:v>
                </c:pt>
                <c:pt idx="8">
                  <c:v>9.9364647887142693E-2</c:v>
                </c:pt>
                <c:pt idx="9">
                  <c:v>0.123929107211514</c:v>
                </c:pt>
                <c:pt idx="10">
                  <c:v>0.14607950880587112</c:v>
                </c:pt>
                <c:pt idx="11">
                  <c:v>0.16420795540076141</c:v>
                </c:pt>
                <c:pt idx="12">
                  <c:v>0.18167347792901717</c:v>
                </c:pt>
                <c:pt idx="13">
                  <c:v>0.19660967337959392</c:v>
                </c:pt>
                <c:pt idx="14">
                  <c:v>0.21007256221361112</c:v>
                </c:pt>
                <c:pt idx="15">
                  <c:v>0.22249203440371282</c:v>
                </c:pt>
                <c:pt idx="16">
                  <c:v>0.23319325526508447</c:v>
                </c:pt>
                <c:pt idx="17">
                  <c:v>0.24327642495616433</c:v>
                </c:pt>
                <c:pt idx="18">
                  <c:v>0.25205808539912633</c:v>
                </c:pt>
                <c:pt idx="19">
                  <c:v>0.26014656589626928</c:v>
                </c:pt>
                <c:pt idx="20">
                  <c:v>0.26755074468831674</c:v>
                </c:pt>
                <c:pt idx="21">
                  <c:v>0.27408002708065854</c:v>
                </c:pt>
                <c:pt idx="22">
                  <c:v>0.2801568381973345</c:v>
                </c:pt>
                <c:pt idx="23">
                  <c:v>0.28572961713869044</c:v>
                </c:pt>
                <c:pt idx="24">
                  <c:v>0.29080923673598724</c:v>
                </c:pt>
                <c:pt idx="25">
                  <c:v>0.29522769627272472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2130-47EC-BE3E-9AEAF5B38E32}"/>
            </c:ext>
          </c:extLst>
        </c:ser>
        <c:ser>
          <c:idx val="8"/>
          <c:order val="3"/>
          <c:tx>
            <c:v>mH2O = 45 %</c:v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tabelid!$B$5:$B$30</c:f>
              <c:numCache>
                <c:formatCode>General</c:formatCode>
                <c:ptCount val="26"/>
                <c:pt idx="0">
                  <c:v>80</c:v>
                </c:pt>
                <c:pt idx="1">
                  <c:v>78</c:v>
                </c:pt>
                <c:pt idx="2">
                  <c:v>76</c:v>
                </c:pt>
                <c:pt idx="3">
                  <c:v>74</c:v>
                </c:pt>
                <c:pt idx="4">
                  <c:v>72</c:v>
                </c:pt>
                <c:pt idx="5">
                  <c:v>70</c:v>
                </c:pt>
                <c:pt idx="6">
                  <c:v>68</c:v>
                </c:pt>
                <c:pt idx="7">
                  <c:v>66</c:v>
                </c:pt>
                <c:pt idx="8">
                  <c:v>64</c:v>
                </c:pt>
                <c:pt idx="9">
                  <c:v>62</c:v>
                </c:pt>
                <c:pt idx="10">
                  <c:v>60</c:v>
                </c:pt>
                <c:pt idx="11">
                  <c:v>58</c:v>
                </c:pt>
                <c:pt idx="12">
                  <c:v>56</c:v>
                </c:pt>
                <c:pt idx="13">
                  <c:v>54</c:v>
                </c:pt>
                <c:pt idx="14">
                  <c:v>52</c:v>
                </c:pt>
                <c:pt idx="15">
                  <c:v>50</c:v>
                </c:pt>
                <c:pt idx="16">
                  <c:v>48</c:v>
                </c:pt>
                <c:pt idx="17">
                  <c:v>46</c:v>
                </c:pt>
                <c:pt idx="18">
                  <c:v>44</c:v>
                </c:pt>
                <c:pt idx="19">
                  <c:v>42</c:v>
                </c:pt>
                <c:pt idx="20">
                  <c:v>40</c:v>
                </c:pt>
                <c:pt idx="21">
                  <c:v>38</c:v>
                </c:pt>
                <c:pt idx="22">
                  <c:v>36</c:v>
                </c:pt>
                <c:pt idx="23">
                  <c:v>34</c:v>
                </c:pt>
                <c:pt idx="24">
                  <c:v>32</c:v>
                </c:pt>
                <c:pt idx="25">
                  <c:v>30</c:v>
                </c:pt>
              </c:numCache>
            </c:numRef>
          </c:xVal>
          <c:yVal>
            <c:numRef>
              <c:f>tabelid!$N$5:$N$30</c:f>
              <c:numCache>
                <c:formatCode>0%</c:formatCode>
                <c:ptCount val="2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8.344118153957884E-3</c:v>
                </c:pt>
                <c:pt idx="7">
                  <c:v>3.992516711641203E-2</c:v>
                </c:pt>
                <c:pt idx="8">
                  <c:v>6.7238010561895351E-2</c:v>
                </c:pt>
                <c:pt idx="9">
                  <c:v>9.111418054923047E-2</c:v>
                </c:pt>
                <c:pt idx="10">
                  <c:v>0.11284198478609746</c:v>
                </c:pt>
                <c:pt idx="11">
                  <c:v>0.13036799976168423</c:v>
                </c:pt>
                <c:pt idx="12">
                  <c:v>0.14765098904449553</c:v>
                </c:pt>
                <c:pt idx="13">
                  <c:v>0.16207122640797028</c:v>
                </c:pt>
                <c:pt idx="14">
                  <c:v>0.17522999824832511</c:v>
                </c:pt>
                <c:pt idx="15">
                  <c:v>0.18745841698012591</c:v>
                </c:pt>
                <c:pt idx="16">
                  <c:v>0.19784387409536786</c:v>
                </c:pt>
                <c:pt idx="17">
                  <c:v>0.20771312228761971</c:v>
                </c:pt>
                <c:pt idx="18">
                  <c:v>0.21611708388351988</c:v>
                </c:pt>
                <c:pt idx="19">
                  <c:v>0.22421557755687863</c:v>
                </c:pt>
                <c:pt idx="20">
                  <c:v>0.23113827221866906</c:v>
                </c:pt>
                <c:pt idx="21">
                  <c:v>0.23754897334263925</c:v>
                </c:pt>
                <c:pt idx="22">
                  <c:v>0.24357604349253878</c:v>
                </c:pt>
                <c:pt idx="23">
                  <c:v>0.24885849213342789</c:v>
                </c:pt>
                <c:pt idx="24">
                  <c:v>0.25371811510432873</c:v>
                </c:pt>
                <c:pt idx="25">
                  <c:v>0.25827153940967829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48B-42C7-8A5B-E1670A292304}"/>
            </c:ext>
          </c:extLst>
        </c:ser>
        <c:ser>
          <c:idx val="2"/>
          <c:order val="4"/>
          <c:tx>
            <c:v>mH2O = 40 %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xVal>
            <c:numRef>
              <c:f>tabelid!$B$5:$B$30</c:f>
              <c:numCache>
                <c:formatCode>General</c:formatCode>
                <c:ptCount val="26"/>
                <c:pt idx="0">
                  <c:v>80</c:v>
                </c:pt>
                <c:pt idx="1">
                  <c:v>78</c:v>
                </c:pt>
                <c:pt idx="2">
                  <c:v>76</c:v>
                </c:pt>
                <c:pt idx="3">
                  <c:v>74</c:v>
                </c:pt>
                <c:pt idx="4">
                  <c:v>72</c:v>
                </c:pt>
                <c:pt idx="5">
                  <c:v>70</c:v>
                </c:pt>
                <c:pt idx="6">
                  <c:v>68</c:v>
                </c:pt>
                <c:pt idx="7">
                  <c:v>66</c:v>
                </c:pt>
                <c:pt idx="8">
                  <c:v>64</c:v>
                </c:pt>
                <c:pt idx="9">
                  <c:v>62</c:v>
                </c:pt>
                <c:pt idx="10">
                  <c:v>60</c:v>
                </c:pt>
                <c:pt idx="11">
                  <c:v>58</c:v>
                </c:pt>
                <c:pt idx="12">
                  <c:v>56</c:v>
                </c:pt>
                <c:pt idx="13">
                  <c:v>54</c:v>
                </c:pt>
                <c:pt idx="14">
                  <c:v>52</c:v>
                </c:pt>
                <c:pt idx="15">
                  <c:v>50</c:v>
                </c:pt>
                <c:pt idx="16">
                  <c:v>48</c:v>
                </c:pt>
                <c:pt idx="17">
                  <c:v>46</c:v>
                </c:pt>
                <c:pt idx="18">
                  <c:v>44</c:v>
                </c:pt>
                <c:pt idx="19">
                  <c:v>42</c:v>
                </c:pt>
                <c:pt idx="20">
                  <c:v>40</c:v>
                </c:pt>
                <c:pt idx="21">
                  <c:v>38</c:v>
                </c:pt>
                <c:pt idx="22">
                  <c:v>36</c:v>
                </c:pt>
                <c:pt idx="23">
                  <c:v>34</c:v>
                </c:pt>
                <c:pt idx="24">
                  <c:v>32</c:v>
                </c:pt>
                <c:pt idx="25">
                  <c:v>30</c:v>
                </c:pt>
              </c:numCache>
            </c:numRef>
          </c:xVal>
          <c:yVal>
            <c:numRef>
              <c:f>tabelid!$L$5:$L$30</c:f>
              <c:numCache>
                <c:formatCode>0%</c:formatCode>
                <c:ptCount val="2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1.6093702026523399E-2</c:v>
                </c:pt>
                <c:pt idx="8">
                  <c:v>4.2948389136381632E-2</c:v>
                </c:pt>
                <c:pt idx="9">
                  <c:v>6.6277861585814862E-2</c:v>
                </c:pt>
                <c:pt idx="10">
                  <c:v>8.7412907743783824E-2</c:v>
                </c:pt>
                <c:pt idx="11">
                  <c:v>0.10471829565996915</c:v>
                </c:pt>
                <c:pt idx="12">
                  <c:v>0.12159936719430602</c:v>
                </c:pt>
                <c:pt idx="13">
                  <c:v>0.13561040531507315</c:v>
                </c:pt>
                <c:pt idx="14">
                  <c:v>0.14852798616218252</c:v>
                </c:pt>
                <c:pt idx="15">
                  <c:v>0.16034988724360974</c:v>
                </c:pt>
                <c:pt idx="16">
                  <c:v>0.17048454839691032</c:v>
                </c:pt>
                <c:pt idx="17">
                  <c:v>0.18018496118817487</c:v>
                </c:pt>
                <c:pt idx="18">
                  <c:v>0.18854391612603705</c:v>
                </c:pt>
                <c:pt idx="19">
                  <c:v>0.19639627456438735</c:v>
                </c:pt>
                <c:pt idx="20">
                  <c:v>0.20344444110780269</c:v>
                </c:pt>
                <c:pt idx="21">
                  <c:v>0.20950784330565159</c:v>
                </c:pt>
                <c:pt idx="22">
                  <c:v>0.21549546458083568</c:v>
                </c:pt>
                <c:pt idx="23">
                  <c:v>0.22054765626470454</c:v>
                </c:pt>
                <c:pt idx="24">
                  <c:v>0.22548510793650139</c:v>
                </c:pt>
                <c:pt idx="25">
                  <c:v>0.22989326594731896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2130-47EC-BE3E-9AEAF5B38E32}"/>
            </c:ext>
          </c:extLst>
        </c:ser>
        <c:ser>
          <c:idx val="7"/>
          <c:order val="5"/>
          <c:tx>
            <c:v>mH2O = 35 %</c:v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tabelid!$B$5:$B$30</c:f>
              <c:numCache>
                <c:formatCode>General</c:formatCode>
                <c:ptCount val="26"/>
                <c:pt idx="0">
                  <c:v>80</c:v>
                </c:pt>
                <c:pt idx="1">
                  <c:v>78</c:v>
                </c:pt>
                <c:pt idx="2">
                  <c:v>76</c:v>
                </c:pt>
                <c:pt idx="3">
                  <c:v>74</c:v>
                </c:pt>
                <c:pt idx="4">
                  <c:v>72</c:v>
                </c:pt>
                <c:pt idx="5">
                  <c:v>70</c:v>
                </c:pt>
                <c:pt idx="6">
                  <c:v>68</c:v>
                </c:pt>
                <c:pt idx="7">
                  <c:v>66</c:v>
                </c:pt>
                <c:pt idx="8">
                  <c:v>64</c:v>
                </c:pt>
                <c:pt idx="9">
                  <c:v>62</c:v>
                </c:pt>
                <c:pt idx="10">
                  <c:v>60</c:v>
                </c:pt>
                <c:pt idx="11">
                  <c:v>58</c:v>
                </c:pt>
                <c:pt idx="12">
                  <c:v>56</c:v>
                </c:pt>
                <c:pt idx="13">
                  <c:v>54</c:v>
                </c:pt>
                <c:pt idx="14">
                  <c:v>52</c:v>
                </c:pt>
                <c:pt idx="15">
                  <c:v>50</c:v>
                </c:pt>
                <c:pt idx="16">
                  <c:v>48</c:v>
                </c:pt>
                <c:pt idx="17">
                  <c:v>46</c:v>
                </c:pt>
                <c:pt idx="18">
                  <c:v>44</c:v>
                </c:pt>
                <c:pt idx="19">
                  <c:v>42</c:v>
                </c:pt>
                <c:pt idx="20">
                  <c:v>40</c:v>
                </c:pt>
                <c:pt idx="21">
                  <c:v>38</c:v>
                </c:pt>
                <c:pt idx="22">
                  <c:v>36</c:v>
                </c:pt>
                <c:pt idx="23">
                  <c:v>34</c:v>
                </c:pt>
                <c:pt idx="24">
                  <c:v>32</c:v>
                </c:pt>
                <c:pt idx="25">
                  <c:v>30</c:v>
                </c:pt>
              </c:numCache>
            </c:numRef>
          </c:xVal>
          <c:yVal>
            <c:numRef>
              <c:f>tabelid!$J$5:$J$30</c:f>
              <c:numCache>
                <c:formatCode>0%</c:formatCode>
                <c:ptCount val="2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2.2115358869333163E-2</c:v>
                </c:pt>
                <c:pt idx="9">
                  <c:v>4.5001394740874529E-2</c:v>
                </c:pt>
                <c:pt idx="10">
                  <c:v>6.588828329005561E-2</c:v>
                </c:pt>
                <c:pt idx="11">
                  <c:v>8.2781371623627545E-2</c:v>
                </c:pt>
                <c:pt idx="12">
                  <c:v>9.9336638109006906E-2</c:v>
                </c:pt>
                <c:pt idx="13">
                  <c:v>0.11324750342898346</c:v>
                </c:pt>
                <c:pt idx="14">
                  <c:v>0.12596912000916816</c:v>
                </c:pt>
                <c:pt idx="15">
                  <c:v>0.1376918193829246</c:v>
                </c:pt>
                <c:pt idx="16">
                  <c:v>0.14762304594714357</c:v>
                </c:pt>
                <c:pt idx="17">
                  <c:v>0.1571855367187176</c:v>
                </c:pt>
                <c:pt idx="18">
                  <c:v>0.16527724832498297</c:v>
                </c:pt>
                <c:pt idx="19">
                  <c:v>0.17292962536998294</c:v>
                </c:pt>
                <c:pt idx="20">
                  <c:v>0.17985022661568678</c:v>
                </c:pt>
                <c:pt idx="21">
                  <c:v>0.18586096277850175</c:v>
                </c:pt>
                <c:pt idx="22">
                  <c:v>0.19158745288311332</c:v>
                </c:pt>
                <c:pt idx="23">
                  <c:v>0.19668164356810589</c:v>
                </c:pt>
                <c:pt idx="24">
                  <c:v>0.20145368034545888</c:v>
                </c:pt>
                <c:pt idx="25">
                  <c:v>0.20574455719580681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48B-42C7-8A5B-E1670A292304}"/>
            </c:ext>
          </c:extLst>
        </c:ser>
        <c:ser>
          <c:idx val="1"/>
          <c:order val="6"/>
          <c:tx>
            <c:v>mH2O = 30 %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xVal>
            <c:numRef>
              <c:f>tabelid!$B$5:$B$30</c:f>
              <c:numCache>
                <c:formatCode>General</c:formatCode>
                <c:ptCount val="26"/>
                <c:pt idx="0">
                  <c:v>80</c:v>
                </c:pt>
                <c:pt idx="1">
                  <c:v>78</c:v>
                </c:pt>
                <c:pt idx="2">
                  <c:v>76</c:v>
                </c:pt>
                <c:pt idx="3">
                  <c:v>74</c:v>
                </c:pt>
                <c:pt idx="4">
                  <c:v>72</c:v>
                </c:pt>
                <c:pt idx="5">
                  <c:v>70</c:v>
                </c:pt>
                <c:pt idx="6">
                  <c:v>68</c:v>
                </c:pt>
                <c:pt idx="7">
                  <c:v>66</c:v>
                </c:pt>
                <c:pt idx="8">
                  <c:v>64</c:v>
                </c:pt>
                <c:pt idx="9">
                  <c:v>62</c:v>
                </c:pt>
                <c:pt idx="10">
                  <c:v>60</c:v>
                </c:pt>
                <c:pt idx="11">
                  <c:v>58</c:v>
                </c:pt>
                <c:pt idx="12">
                  <c:v>56</c:v>
                </c:pt>
                <c:pt idx="13">
                  <c:v>54</c:v>
                </c:pt>
                <c:pt idx="14">
                  <c:v>52</c:v>
                </c:pt>
                <c:pt idx="15">
                  <c:v>50</c:v>
                </c:pt>
                <c:pt idx="16">
                  <c:v>48</c:v>
                </c:pt>
                <c:pt idx="17">
                  <c:v>46</c:v>
                </c:pt>
                <c:pt idx="18">
                  <c:v>44</c:v>
                </c:pt>
                <c:pt idx="19">
                  <c:v>42</c:v>
                </c:pt>
                <c:pt idx="20">
                  <c:v>40</c:v>
                </c:pt>
                <c:pt idx="21">
                  <c:v>38</c:v>
                </c:pt>
                <c:pt idx="22">
                  <c:v>36</c:v>
                </c:pt>
                <c:pt idx="23">
                  <c:v>34</c:v>
                </c:pt>
                <c:pt idx="24">
                  <c:v>32</c:v>
                </c:pt>
                <c:pt idx="25">
                  <c:v>30</c:v>
                </c:pt>
              </c:numCache>
            </c:numRef>
          </c:xVal>
          <c:yVal>
            <c:numRef>
              <c:f>tabelid!$H$5:$H$30</c:f>
              <c:numCache>
                <c:formatCode>0%</c:formatCode>
                <c:ptCount val="2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5.068073719453484E-3</c:v>
                </c:pt>
                <c:pt idx="9">
                  <c:v>2.7586012599750988E-2</c:v>
                </c:pt>
                <c:pt idx="10">
                  <c:v>4.8053849220554029E-2</c:v>
                </c:pt>
                <c:pt idx="11">
                  <c:v>6.4818389488321179E-2</c:v>
                </c:pt>
                <c:pt idx="12">
                  <c:v>8.1103023714154246E-2</c:v>
                </c:pt>
                <c:pt idx="13">
                  <c:v>9.4931149217447566E-2</c:v>
                </c:pt>
                <c:pt idx="14">
                  <c:v>0.10727775505859587</c:v>
                </c:pt>
                <c:pt idx="15">
                  <c:v>0.1187069806999223</c:v>
                </c:pt>
                <c:pt idx="16">
                  <c:v>0.12868092878981063</c:v>
                </c:pt>
                <c:pt idx="17">
                  <c:v>0.13791824048850582</c:v>
                </c:pt>
                <c:pt idx="18">
                  <c:v>0.14599942752922809</c:v>
                </c:pt>
                <c:pt idx="19">
                  <c:v>0.1534861080724145</c:v>
                </c:pt>
                <c:pt idx="20">
                  <c:v>0.16030101386700921</c:v>
                </c:pt>
                <c:pt idx="21">
                  <c:v>0.16647823758670918</c:v>
                </c:pt>
                <c:pt idx="22">
                  <c:v>0.17198768322503763</c:v>
                </c:pt>
                <c:pt idx="23">
                  <c:v>0.17711696126042123</c:v>
                </c:pt>
                <c:pt idx="24">
                  <c:v>0.18175126021025106</c:v>
                </c:pt>
                <c:pt idx="25">
                  <c:v>0.18594428090009066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2130-47EC-BE3E-9AEAF5B38E32}"/>
            </c:ext>
          </c:extLst>
        </c:ser>
        <c:ser>
          <c:idx val="0"/>
          <c:order val="7"/>
          <c:tx>
            <c:v>mH2O = 25 %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xVal>
            <c:numRef>
              <c:f>tabelid!$B$5:$B$30</c:f>
              <c:numCache>
                <c:formatCode>General</c:formatCode>
                <c:ptCount val="26"/>
                <c:pt idx="0">
                  <c:v>80</c:v>
                </c:pt>
                <c:pt idx="1">
                  <c:v>78</c:v>
                </c:pt>
                <c:pt idx="2">
                  <c:v>76</c:v>
                </c:pt>
                <c:pt idx="3">
                  <c:v>74</c:v>
                </c:pt>
                <c:pt idx="4">
                  <c:v>72</c:v>
                </c:pt>
                <c:pt idx="5">
                  <c:v>70</c:v>
                </c:pt>
                <c:pt idx="6">
                  <c:v>68</c:v>
                </c:pt>
                <c:pt idx="7">
                  <c:v>66</c:v>
                </c:pt>
                <c:pt idx="8">
                  <c:v>64</c:v>
                </c:pt>
                <c:pt idx="9">
                  <c:v>62</c:v>
                </c:pt>
                <c:pt idx="10">
                  <c:v>60</c:v>
                </c:pt>
                <c:pt idx="11">
                  <c:v>58</c:v>
                </c:pt>
                <c:pt idx="12">
                  <c:v>56</c:v>
                </c:pt>
                <c:pt idx="13">
                  <c:v>54</c:v>
                </c:pt>
                <c:pt idx="14">
                  <c:v>52</c:v>
                </c:pt>
                <c:pt idx="15">
                  <c:v>50</c:v>
                </c:pt>
                <c:pt idx="16">
                  <c:v>48</c:v>
                </c:pt>
                <c:pt idx="17">
                  <c:v>46</c:v>
                </c:pt>
                <c:pt idx="18">
                  <c:v>44</c:v>
                </c:pt>
                <c:pt idx="19">
                  <c:v>42</c:v>
                </c:pt>
                <c:pt idx="20">
                  <c:v>40</c:v>
                </c:pt>
                <c:pt idx="21">
                  <c:v>38</c:v>
                </c:pt>
                <c:pt idx="22">
                  <c:v>36</c:v>
                </c:pt>
                <c:pt idx="23">
                  <c:v>34</c:v>
                </c:pt>
                <c:pt idx="24">
                  <c:v>32</c:v>
                </c:pt>
                <c:pt idx="25">
                  <c:v>30</c:v>
                </c:pt>
              </c:numCache>
            </c:numRef>
          </c:xVal>
          <c:yVal>
            <c:numRef>
              <c:f>tabelid!$F$5:$F$30</c:f>
              <c:numCache>
                <c:formatCode>0%</c:formatCode>
                <c:ptCount val="2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1.3580632896282302E-2</c:v>
                </c:pt>
                <c:pt idx="10">
                  <c:v>3.3695587890278135E-2</c:v>
                </c:pt>
                <c:pt idx="11">
                  <c:v>5.0155633863177014E-2</c:v>
                </c:pt>
                <c:pt idx="12">
                  <c:v>6.6408614539040831E-2</c:v>
                </c:pt>
                <c:pt idx="13">
                  <c:v>7.9971211218583374E-2</c:v>
                </c:pt>
                <c:pt idx="14">
                  <c:v>9.2197876327479097E-2</c:v>
                </c:pt>
                <c:pt idx="15">
                  <c:v>0.10357456734875345</c:v>
                </c:pt>
                <c:pt idx="16">
                  <c:v>0.11338989282338494</c:v>
                </c:pt>
                <c:pt idx="17">
                  <c:v>0.12254762398576456</c:v>
                </c:pt>
                <c:pt idx="18">
                  <c:v>0.13042569713275898</c:v>
                </c:pt>
                <c:pt idx="19">
                  <c:v>0.13796674213939067</c:v>
                </c:pt>
                <c:pt idx="20">
                  <c:v>0.14469201439382734</c:v>
                </c:pt>
                <c:pt idx="21">
                  <c:v>0.1506226330257654</c:v>
                </c:pt>
                <c:pt idx="22">
                  <c:v>0.15614284122976449</c:v>
                </c:pt>
                <c:pt idx="23">
                  <c:v>0.16110849350372772</c:v>
                </c:pt>
                <c:pt idx="24">
                  <c:v>0.16562743199281635</c:v>
                </c:pt>
                <c:pt idx="25">
                  <c:v>0.1699305932232093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130-47EC-BE3E-9AEAF5B38E32}"/>
            </c:ext>
          </c:extLst>
        </c:ser>
        <c:ser>
          <c:idx val="6"/>
          <c:order val="8"/>
          <c:tx>
            <c:v>mH2O = 20 %</c:v>
          </c:tx>
          <c:spPr>
            <a:ln w="25400" cap="rnd">
              <a:solidFill>
                <a:srgbClr val="7030A0"/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xVal>
            <c:numRef>
              <c:f>tabelid!$B$5:$B$30</c:f>
              <c:numCache>
                <c:formatCode>General</c:formatCode>
                <c:ptCount val="26"/>
                <c:pt idx="0">
                  <c:v>80</c:v>
                </c:pt>
                <c:pt idx="1">
                  <c:v>78</c:v>
                </c:pt>
                <c:pt idx="2">
                  <c:v>76</c:v>
                </c:pt>
                <c:pt idx="3">
                  <c:v>74</c:v>
                </c:pt>
                <c:pt idx="4">
                  <c:v>72</c:v>
                </c:pt>
                <c:pt idx="5">
                  <c:v>70</c:v>
                </c:pt>
                <c:pt idx="6">
                  <c:v>68</c:v>
                </c:pt>
                <c:pt idx="7">
                  <c:v>66</c:v>
                </c:pt>
                <c:pt idx="8">
                  <c:v>64</c:v>
                </c:pt>
                <c:pt idx="9">
                  <c:v>62</c:v>
                </c:pt>
                <c:pt idx="10">
                  <c:v>60</c:v>
                </c:pt>
                <c:pt idx="11">
                  <c:v>58</c:v>
                </c:pt>
                <c:pt idx="12">
                  <c:v>56</c:v>
                </c:pt>
                <c:pt idx="13">
                  <c:v>54</c:v>
                </c:pt>
                <c:pt idx="14">
                  <c:v>52</c:v>
                </c:pt>
                <c:pt idx="15">
                  <c:v>50</c:v>
                </c:pt>
                <c:pt idx="16">
                  <c:v>48</c:v>
                </c:pt>
                <c:pt idx="17">
                  <c:v>46</c:v>
                </c:pt>
                <c:pt idx="18">
                  <c:v>44</c:v>
                </c:pt>
                <c:pt idx="19">
                  <c:v>42</c:v>
                </c:pt>
                <c:pt idx="20">
                  <c:v>40</c:v>
                </c:pt>
                <c:pt idx="21">
                  <c:v>38</c:v>
                </c:pt>
                <c:pt idx="22">
                  <c:v>36</c:v>
                </c:pt>
                <c:pt idx="23">
                  <c:v>34</c:v>
                </c:pt>
                <c:pt idx="24">
                  <c:v>32</c:v>
                </c:pt>
                <c:pt idx="25">
                  <c:v>30</c:v>
                </c:pt>
              </c:numCache>
            </c:numRef>
          </c:xVal>
          <c:yVal>
            <c:numRef>
              <c:f>tabelid!$D$5:$D$30</c:f>
              <c:numCache>
                <c:formatCode>0%</c:formatCode>
                <c:ptCount val="2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8.1538532350475419E-4</c:v>
                </c:pt>
                <c:pt idx="10">
                  <c:v>2.0811304756828908E-2</c:v>
                </c:pt>
                <c:pt idx="11">
                  <c:v>3.7193303578650548E-2</c:v>
                </c:pt>
                <c:pt idx="12">
                  <c:v>5.3056077801804137E-2</c:v>
                </c:pt>
                <c:pt idx="13">
                  <c:v>6.6573306850270297E-2</c:v>
                </c:pt>
                <c:pt idx="14">
                  <c:v>7.8697584563698977E-2</c:v>
                </c:pt>
                <c:pt idx="15">
                  <c:v>8.9849070935782441E-2</c:v>
                </c:pt>
                <c:pt idx="16">
                  <c:v>9.9528727878990489E-2</c:v>
                </c:pt>
                <c:pt idx="17">
                  <c:v>0.10861910708231369</c:v>
                </c:pt>
                <c:pt idx="18">
                  <c:v>0.11650382893857984</c:v>
                </c:pt>
                <c:pt idx="19">
                  <c:v>0.12391157386794693</c:v>
                </c:pt>
                <c:pt idx="20">
                  <c:v>0.1305609124174871</c:v>
                </c:pt>
                <c:pt idx="21">
                  <c:v>0.13646014297604153</c:v>
                </c:pt>
                <c:pt idx="22">
                  <c:v>0.1419895386432723</c:v>
                </c:pt>
                <c:pt idx="23">
                  <c:v>0.14681551180048763</c:v>
                </c:pt>
                <c:pt idx="24">
                  <c:v>0.1514144281179769</c:v>
                </c:pt>
                <c:pt idx="25">
                  <c:v>0.15563315553556309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2130-47EC-BE3E-9AEAF5B38E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61619408"/>
        <c:axId val="1061622320"/>
      </c:scatterChart>
      <c:valAx>
        <c:axId val="1061619408"/>
        <c:scaling>
          <c:orientation val="minMax"/>
          <c:max val="75"/>
          <c:min val="3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t-EE" baseline="0"/>
                  <a:t>Kaugkütte tagasivoolu temperatuur </a:t>
                </a:r>
                <a:r>
                  <a:rPr lang="et-EE" i="1" baseline="0"/>
                  <a:t>t'' </a:t>
                </a:r>
                <a:r>
                  <a:rPr lang="et-EE" i="0" baseline="0"/>
                  <a:t>(</a:t>
                </a:r>
                <a:r>
                  <a:rPr lang="et-EE" i="0" baseline="0">
                    <a:latin typeface="Calibri Light" panose="020F0302020204030204" pitchFamily="34" charset="0"/>
                    <a:cs typeface="Calibri Light" panose="020F0302020204030204" pitchFamily="34" charset="0"/>
                  </a:rPr>
                  <a:t>°C)</a:t>
                </a:r>
                <a:endParaRPr lang="et-EE" i="0" baseline="0"/>
              </a:p>
            </c:rich>
          </c:tx>
          <c:layout>
            <c:manualLayout>
              <c:xMode val="edge"/>
              <c:yMode val="edge"/>
              <c:x val="0.34869207021890264"/>
              <c:y val="0.933819780663980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t-E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t-EE"/>
          </a:p>
        </c:txPr>
        <c:crossAx val="1061622320"/>
        <c:crosses val="autoZero"/>
        <c:crossBetween val="midCat"/>
      </c:valAx>
      <c:valAx>
        <c:axId val="1061622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t-EE" baseline="0"/>
                  <a:t>Soojustagastuse osakaal katla võimsusest </a:t>
                </a:r>
                <a:r>
                  <a:rPr lang="et-EE" i="1" baseline="0"/>
                  <a:t>Q</a:t>
                </a:r>
                <a:r>
                  <a:rPr lang="et-EE" i="1" baseline="-25000"/>
                  <a:t>FGC</a:t>
                </a:r>
                <a:r>
                  <a:rPr lang="et-EE" i="1" baseline="0"/>
                  <a:t>/Q</a:t>
                </a:r>
                <a:r>
                  <a:rPr lang="et-EE" baseline="0"/>
                  <a:t>,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t-EE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t-EE"/>
          </a:p>
        </c:txPr>
        <c:crossAx val="106161940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643270904566504"/>
          <c:y val="0.12701692549597543"/>
          <c:w val="0.13410154459555015"/>
          <c:h val="0.422714042670136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t-E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t-EE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9"/>
          <c:order val="0"/>
          <c:tx>
            <c:v>mH2O = 45%, calculated</c:v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graafikud!$R$3:$R$13</c:f>
              <c:numCache>
                <c:formatCode>General</c:formatCode>
                <c:ptCount val="11"/>
                <c:pt idx="0">
                  <c:v>40</c:v>
                </c:pt>
                <c:pt idx="1">
                  <c:v>41</c:v>
                </c:pt>
                <c:pt idx="2">
                  <c:v>42</c:v>
                </c:pt>
                <c:pt idx="3">
                  <c:v>43</c:v>
                </c:pt>
                <c:pt idx="4">
                  <c:v>44</c:v>
                </c:pt>
                <c:pt idx="5">
                  <c:v>45</c:v>
                </c:pt>
                <c:pt idx="6">
                  <c:v>46</c:v>
                </c:pt>
                <c:pt idx="7">
                  <c:v>47</c:v>
                </c:pt>
                <c:pt idx="8">
                  <c:v>48</c:v>
                </c:pt>
                <c:pt idx="9">
                  <c:v>49</c:v>
                </c:pt>
                <c:pt idx="10">
                  <c:v>50</c:v>
                </c:pt>
              </c:numCache>
            </c:numRef>
          </c:xVal>
          <c:yVal>
            <c:numRef>
              <c:f>graafikud!$V$3:$V$13</c:f>
              <c:numCache>
                <c:formatCode>0.000</c:formatCode>
                <c:ptCount val="11"/>
                <c:pt idx="0">
                  <c:v>9.2774043777675583</c:v>
                </c:pt>
                <c:pt idx="1">
                  <c:v>9.2730908232040417</c:v>
                </c:pt>
                <c:pt idx="2">
                  <c:v>9.2551561491669698</c:v>
                </c:pt>
                <c:pt idx="3">
                  <c:v>9.2335420265395989</c:v>
                </c:pt>
                <c:pt idx="4">
                  <c:v>9.2069882178761642</c:v>
                </c:pt>
                <c:pt idx="5">
                  <c:v>9.1799079876426468</c:v>
                </c:pt>
                <c:pt idx="6">
                  <c:v>9.1438210453924498</c:v>
                </c:pt>
                <c:pt idx="7">
                  <c:v>8.99633073148234</c:v>
                </c:pt>
                <c:pt idx="8">
                  <c:v>8.7829549850038671</c:v>
                </c:pt>
                <c:pt idx="9">
                  <c:v>8.5436872939839503</c:v>
                </c:pt>
                <c:pt idx="10">
                  <c:v>8.3225913386666477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C71-4797-B3DD-928CE54A8A4D}"/>
            </c:ext>
          </c:extLst>
        </c:ser>
        <c:ser>
          <c:idx val="1"/>
          <c:order val="1"/>
          <c:tx>
            <c:v>mH2O = 40%, calculated</c:v>
          </c:tx>
          <c:spPr>
            <a:ln w="19050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graafikud!$R$3:$R$23</c:f>
              <c:numCache>
                <c:formatCode>General</c:formatCode>
                <c:ptCount val="21"/>
                <c:pt idx="0">
                  <c:v>40</c:v>
                </c:pt>
                <c:pt idx="1">
                  <c:v>41</c:v>
                </c:pt>
                <c:pt idx="2">
                  <c:v>42</c:v>
                </c:pt>
                <c:pt idx="3">
                  <c:v>43</c:v>
                </c:pt>
                <c:pt idx="4">
                  <c:v>44</c:v>
                </c:pt>
                <c:pt idx="5">
                  <c:v>45</c:v>
                </c:pt>
                <c:pt idx="6">
                  <c:v>46</c:v>
                </c:pt>
                <c:pt idx="7">
                  <c:v>47</c:v>
                </c:pt>
                <c:pt idx="8">
                  <c:v>48</c:v>
                </c:pt>
                <c:pt idx="9">
                  <c:v>49</c:v>
                </c:pt>
                <c:pt idx="10">
                  <c:v>50</c:v>
                </c:pt>
              </c:numCache>
            </c:numRef>
          </c:xVal>
          <c:yVal>
            <c:numRef>
              <c:f>graafikud!$U$3:$U$23</c:f>
              <c:numCache>
                <c:formatCode>0.000</c:formatCode>
                <c:ptCount val="21"/>
                <c:pt idx="0">
                  <c:v>7.9835775256068171</c:v>
                </c:pt>
                <c:pt idx="1">
                  <c:v>7.9730416210682344</c:v>
                </c:pt>
                <c:pt idx="2">
                  <c:v>7.953665030868776</c:v>
                </c:pt>
                <c:pt idx="3">
                  <c:v>7.9311924260534488</c:v>
                </c:pt>
                <c:pt idx="4">
                  <c:v>7.9040903187088398</c:v>
                </c:pt>
                <c:pt idx="5">
                  <c:v>7.8768693483767711</c:v>
                </c:pt>
                <c:pt idx="6">
                  <c:v>7.8379970553035934</c:v>
                </c:pt>
                <c:pt idx="7">
                  <c:v>7.7842272756428521</c:v>
                </c:pt>
                <c:pt idx="8">
                  <c:v>7.5682981529307822</c:v>
                </c:pt>
                <c:pt idx="9">
                  <c:v>7.3404426101851632</c:v>
                </c:pt>
                <c:pt idx="10">
                  <c:v>7.1190539439545395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E27-4E82-B24A-E3F939D66BC3}"/>
            </c:ext>
          </c:extLst>
        </c:ser>
        <c:ser>
          <c:idx val="3"/>
          <c:order val="2"/>
          <c:tx>
            <c:v>mH2O = 35%, calculated</c:v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graafikud!$R$3:$R$13</c:f>
              <c:numCache>
                <c:formatCode>General</c:formatCode>
                <c:ptCount val="11"/>
                <c:pt idx="0">
                  <c:v>40</c:v>
                </c:pt>
                <c:pt idx="1">
                  <c:v>41</c:v>
                </c:pt>
                <c:pt idx="2">
                  <c:v>42</c:v>
                </c:pt>
                <c:pt idx="3">
                  <c:v>43</c:v>
                </c:pt>
                <c:pt idx="4">
                  <c:v>44</c:v>
                </c:pt>
                <c:pt idx="5">
                  <c:v>45</c:v>
                </c:pt>
                <c:pt idx="6">
                  <c:v>46</c:v>
                </c:pt>
                <c:pt idx="7">
                  <c:v>47</c:v>
                </c:pt>
                <c:pt idx="8">
                  <c:v>48</c:v>
                </c:pt>
                <c:pt idx="9">
                  <c:v>49</c:v>
                </c:pt>
                <c:pt idx="10">
                  <c:v>50</c:v>
                </c:pt>
              </c:numCache>
            </c:numRef>
          </c:xVal>
          <c:yVal>
            <c:numRef>
              <c:f>graafikud!$T$3:$T$13</c:f>
              <c:numCache>
                <c:formatCode>0.000</c:formatCode>
                <c:ptCount val="11"/>
                <c:pt idx="0">
                  <c:v>6.9308251338395239</c:v>
                </c:pt>
                <c:pt idx="1">
                  <c:v>6.9182421060157804</c:v>
                </c:pt>
                <c:pt idx="2">
                  <c:v>6.8977790921165667</c:v>
                </c:pt>
                <c:pt idx="3">
                  <c:v>6.8773767491247586</c:v>
                </c:pt>
                <c:pt idx="4">
                  <c:v>6.8471310470282472</c:v>
                </c:pt>
                <c:pt idx="5">
                  <c:v>6.8197941476214137</c:v>
                </c:pt>
                <c:pt idx="6">
                  <c:v>6.7818398479104873</c:v>
                </c:pt>
                <c:pt idx="7">
                  <c:v>6.7397271597749118</c:v>
                </c:pt>
                <c:pt idx="8">
                  <c:v>6.5533283386100472</c:v>
                </c:pt>
                <c:pt idx="9">
                  <c:v>6.3244705752605741</c:v>
                </c:pt>
                <c:pt idx="10">
                  <c:v>6.1131037051437014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D8A-4C09-85BD-2A1EBDF3A700}"/>
            </c:ext>
          </c:extLst>
        </c:ser>
        <c:ser>
          <c:idx val="0"/>
          <c:order val="3"/>
          <c:tx>
            <c:v>mH2O = 30%, calculated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graafikud!$R$3:$R$23</c:f>
              <c:numCache>
                <c:formatCode>General</c:formatCode>
                <c:ptCount val="21"/>
                <c:pt idx="0">
                  <c:v>40</c:v>
                </c:pt>
                <c:pt idx="1">
                  <c:v>41</c:v>
                </c:pt>
                <c:pt idx="2">
                  <c:v>42</c:v>
                </c:pt>
                <c:pt idx="3">
                  <c:v>43</c:v>
                </c:pt>
                <c:pt idx="4">
                  <c:v>44</c:v>
                </c:pt>
                <c:pt idx="5">
                  <c:v>45</c:v>
                </c:pt>
                <c:pt idx="6">
                  <c:v>46</c:v>
                </c:pt>
                <c:pt idx="7">
                  <c:v>47</c:v>
                </c:pt>
                <c:pt idx="8">
                  <c:v>48</c:v>
                </c:pt>
                <c:pt idx="9">
                  <c:v>49</c:v>
                </c:pt>
                <c:pt idx="10">
                  <c:v>50</c:v>
                </c:pt>
              </c:numCache>
            </c:numRef>
          </c:xVal>
          <c:yVal>
            <c:numRef>
              <c:f>graafikud!$S$3:$S$23</c:f>
              <c:numCache>
                <c:formatCode>0.000</c:formatCode>
                <c:ptCount val="21"/>
                <c:pt idx="0">
                  <c:v>6.069607579731314</c:v>
                </c:pt>
                <c:pt idx="1">
                  <c:v>6.0578947445558367</c:v>
                </c:pt>
                <c:pt idx="2">
                  <c:v>6.0343196321233501</c:v>
                </c:pt>
                <c:pt idx="3">
                  <c:v>6.0131115174739849</c:v>
                </c:pt>
                <c:pt idx="4">
                  <c:v>5.9830881994558824</c:v>
                </c:pt>
                <c:pt idx="5">
                  <c:v>5.9557798490676594</c:v>
                </c:pt>
                <c:pt idx="6">
                  <c:v>5.9160780852014678</c:v>
                </c:pt>
                <c:pt idx="7">
                  <c:v>5.8750956008262403</c:v>
                </c:pt>
                <c:pt idx="8">
                  <c:v>5.7123653626960991</c:v>
                </c:pt>
                <c:pt idx="9">
                  <c:v>5.4920860365346122</c:v>
                </c:pt>
                <c:pt idx="10">
                  <c:v>5.2702338221344487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E27-4E82-B24A-E3F939D66BC3}"/>
            </c:ext>
          </c:extLst>
        </c:ser>
        <c:ser>
          <c:idx val="7"/>
          <c:order val="4"/>
          <c:tx>
            <c:v>mH2O = 40…45%, measured</c:v>
          </c:tx>
          <c:spPr>
            <a:ln w="19050" cap="rnd">
              <a:noFill/>
              <a:round/>
            </a:ln>
            <a:effectLst/>
          </c:spPr>
          <c:marker>
            <c:symbol val="triangl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xVal>
            <c:numRef>
              <c:f>graafikud!$Y$13:$Y$44</c:f>
              <c:numCache>
                <c:formatCode>General</c:formatCode>
                <c:ptCount val="32"/>
                <c:pt idx="0">
                  <c:v>41</c:v>
                </c:pt>
                <c:pt idx="1">
                  <c:v>41</c:v>
                </c:pt>
                <c:pt idx="2">
                  <c:v>41</c:v>
                </c:pt>
                <c:pt idx="3">
                  <c:v>42</c:v>
                </c:pt>
                <c:pt idx="4">
                  <c:v>42</c:v>
                </c:pt>
                <c:pt idx="5">
                  <c:v>43</c:v>
                </c:pt>
                <c:pt idx="6">
                  <c:v>43</c:v>
                </c:pt>
                <c:pt idx="7">
                  <c:v>41</c:v>
                </c:pt>
                <c:pt idx="8">
                  <c:v>42</c:v>
                </c:pt>
                <c:pt idx="9">
                  <c:v>41</c:v>
                </c:pt>
                <c:pt idx="10">
                  <c:v>43</c:v>
                </c:pt>
                <c:pt idx="11">
                  <c:v>42</c:v>
                </c:pt>
                <c:pt idx="12">
                  <c:v>41</c:v>
                </c:pt>
                <c:pt idx="13">
                  <c:v>42</c:v>
                </c:pt>
                <c:pt idx="14">
                  <c:v>42.4</c:v>
                </c:pt>
                <c:pt idx="15">
                  <c:v>45.6</c:v>
                </c:pt>
                <c:pt idx="16">
                  <c:v>46.6</c:v>
                </c:pt>
                <c:pt idx="17">
                  <c:v>43.6</c:v>
                </c:pt>
                <c:pt idx="18">
                  <c:v>41.4</c:v>
                </c:pt>
                <c:pt idx="19">
                  <c:v>46.4</c:v>
                </c:pt>
                <c:pt idx="20">
                  <c:v>44.6</c:v>
                </c:pt>
                <c:pt idx="21">
                  <c:v>42.4</c:v>
                </c:pt>
                <c:pt idx="22">
                  <c:v>41.5</c:v>
                </c:pt>
                <c:pt idx="23">
                  <c:v>42.5</c:v>
                </c:pt>
                <c:pt idx="24">
                  <c:v>45.6</c:v>
                </c:pt>
                <c:pt idx="25">
                  <c:v>43.4</c:v>
                </c:pt>
                <c:pt idx="26">
                  <c:v>42.5</c:v>
                </c:pt>
                <c:pt idx="27">
                  <c:v>48.3</c:v>
                </c:pt>
                <c:pt idx="28">
                  <c:v>48.6</c:v>
                </c:pt>
                <c:pt idx="29">
                  <c:v>48.6</c:v>
                </c:pt>
                <c:pt idx="30">
                  <c:v>47.8</c:v>
                </c:pt>
                <c:pt idx="31">
                  <c:v>48.8</c:v>
                </c:pt>
              </c:numCache>
            </c:numRef>
          </c:xVal>
          <c:yVal>
            <c:numRef>
              <c:f>graafikud!$Z$13:$Z$44</c:f>
              <c:numCache>
                <c:formatCode>General</c:formatCode>
                <c:ptCount val="32"/>
                <c:pt idx="0">
                  <c:v>7.6</c:v>
                </c:pt>
                <c:pt idx="1">
                  <c:v>8.5</c:v>
                </c:pt>
                <c:pt idx="2">
                  <c:v>8.6</c:v>
                </c:pt>
                <c:pt idx="3">
                  <c:v>8.8000000000000007</c:v>
                </c:pt>
                <c:pt idx="4">
                  <c:v>9.1</c:v>
                </c:pt>
                <c:pt idx="5">
                  <c:v>7.6</c:v>
                </c:pt>
                <c:pt idx="6">
                  <c:v>8.1999999999999993</c:v>
                </c:pt>
                <c:pt idx="7">
                  <c:v>8.1</c:v>
                </c:pt>
                <c:pt idx="8">
                  <c:v>8.6999999999999993</c:v>
                </c:pt>
                <c:pt idx="9">
                  <c:v>7.8</c:v>
                </c:pt>
                <c:pt idx="10">
                  <c:v>7.8</c:v>
                </c:pt>
                <c:pt idx="11">
                  <c:v>8</c:v>
                </c:pt>
                <c:pt idx="12">
                  <c:v>8</c:v>
                </c:pt>
                <c:pt idx="13">
                  <c:v>8</c:v>
                </c:pt>
                <c:pt idx="14">
                  <c:v>8.9</c:v>
                </c:pt>
                <c:pt idx="15">
                  <c:v>7.91</c:v>
                </c:pt>
                <c:pt idx="16">
                  <c:v>7.71</c:v>
                </c:pt>
                <c:pt idx="17">
                  <c:v>8.4</c:v>
                </c:pt>
                <c:pt idx="18">
                  <c:v>9.26</c:v>
                </c:pt>
                <c:pt idx="19">
                  <c:v>8.8000000000000007</c:v>
                </c:pt>
                <c:pt idx="20">
                  <c:v>8.3000000000000007</c:v>
                </c:pt>
                <c:pt idx="21">
                  <c:v>9.26</c:v>
                </c:pt>
                <c:pt idx="22">
                  <c:v>8.2899999999999991</c:v>
                </c:pt>
                <c:pt idx="23">
                  <c:v>8.6199999999999992</c:v>
                </c:pt>
                <c:pt idx="24">
                  <c:v>9.2100000000000009</c:v>
                </c:pt>
                <c:pt idx="25">
                  <c:v>9.83</c:v>
                </c:pt>
                <c:pt idx="26">
                  <c:v>8</c:v>
                </c:pt>
                <c:pt idx="27">
                  <c:v>8.1199999999999992</c:v>
                </c:pt>
                <c:pt idx="28">
                  <c:v>8</c:v>
                </c:pt>
                <c:pt idx="29">
                  <c:v>8.43</c:v>
                </c:pt>
                <c:pt idx="30">
                  <c:v>8.08</c:v>
                </c:pt>
                <c:pt idx="31">
                  <c:v>8.1199999999999992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A7E1-4146-A052-635FEF2EA975}"/>
            </c:ext>
          </c:extLst>
        </c:ser>
        <c:ser>
          <c:idx val="6"/>
          <c:order val="5"/>
          <c:tx>
            <c:v>mH2O = 35…40%, measured</c:v>
          </c:tx>
          <c:spPr>
            <a:ln w="19050" cap="rnd">
              <a:noFill/>
              <a:round/>
            </a:ln>
            <a:effectLst/>
          </c:spPr>
          <c:marker>
            <c:symbol val="squar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graafikud!$Y$49:$Y$69</c:f>
              <c:numCache>
                <c:formatCode>General</c:formatCode>
                <c:ptCount val="21"/>
                <c:pt idx="0">
                  <c:v>40</c:v>
                </c:pt>
                <c:pt idx="1">
                  <c:v>41</c:v>
                </c:pt>
                <c:pt idx="2">
                  <c:v>42</c:v>
                </c:pt>
                <c:pt idx="3">
                  <c:v>43</c:v>
                </c:pt>
                <c:pt idx="4">
                  <c:v>42</c:v>
                </c:pt>
                <c:pt idx="5">
                  <c:v>44</c:v>
                </c:pt>
                <c:pt idx="6">
                  <c:v>45</c:v>
                </c:pt>
                <c:pt idx="7">
                  <c:v>46</c:v>
                </c:pt>
                <c:pt idx="8">
                  <c:v>45</c:v>
                </c:pt>
                <c:pt idx="9">
                  <c:v>43</c:v>
                </c:pt>
                <c:pt idx="10">
                  <c:v>42</c:v>
                </c:pt>
                <c:pt idx="11">
                  <c:v>45</c:v>
                </c:pt>
                <c:pt idx="12">
                  <c:v>45</c:v>
                </c:pt>
                <c:pt idx="13">
                  <c:v>46</c:v>
                </c:pt>
                <c:pt idx="14">
                  <c:v>45</c:v>
                </c:pt>
                <c:pt idx="15">
                  <c:v>45</c:v>
                </c:pt>
                <c:pt idx="16">
                  <c:v>45</c:v>
                </c:pt>
                <c:pt idx="17">
                  <c:v>43</c:v>
                </c:pt>
                <c:pt idx="18">
                  <c:v>42</c:v>
                </c:pt>
                <c:pt idx="19">
                  <c:v>44</c:v>
                </c:pt>
                <c:pt idx="20">
                  <c:v>45</c:v>
                </c:pt>
              </c:numCache>
            </c:numRef>
          </c:xVal>
          <c:yVal>
            <c:numRef>
              <c:f>graafikud!$Z$49:$Z$69</c:f>
              <c:numCache>
                <c:formatCode>General</c:formatCode>
                <c:ptCount val="21"/>
                <c:pt idx="0">
                  <c:v>7.7</c:v>
                </c:pt>
                <c:pt idx="1">
                  <c:v>7.9</c:v>
                </c:pt>
                <c:pt idx="2">
                  <c:v>7.1</c:v>
                </c:pt>
                <c:pt idx="3">
                  <c:v>7</c:v>
                </c:pt>
                <c:pt idx="4">
                  <c:v>8</c:v>
                </c:pt>
                <c:pt idx="5">
                  <c:v>7.6</c:v>
                </c:pt>
                <c:pt idx="6">
                  <c:v>8.1999999999999993</c:v>
                </c:pt>
                <c:pt idx="7">
                  <c:v>7</c:v>
                </c:pt>
                <c:pt idx="8">
                  <c:v>7.8</c:v>
                </c:pt>
                <c:pt idx="9">
                  <c:v>7.8</c:v>
                </c:pt>
                <c:pt idx="10">
                  <c:v>8.1999999999999993</c:v>
                </c:pt>
                <c:pt idx="11">
                  <c:v>6.9</c:v>
                </c:pt>
                <c:pt idx="12">
                  <c:v>6.7</c:v>
                </c:pt>
                <c:pt idx="13">
                  <c:v>6.5</c:v>
                </c:pt>
                <c:pt idx="14">
                  <c:v>6.9</c:v>
                </c:pt>
                <c:pt idx="15">
                  <c:v>7.5</c:v>
                </c:pt>
                <c:pt idx="16">
                  <c:v>7.9</c:v>
                </c:pt>
                <c:pt idx="17">
                  <c:v>7.7</c:v>
                </c:pt>
                <c:pt idx="18">
                  <c:v>8.3000000000000007</c:v>
                </c:pt>
                <c:pt idx="19">
                  <c:v>7.9</c:v>
                </c:pt>
                <c:pt idx="20">
                  <c:v>7.3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7E1-4146-A052-635FEF2EA975}"/>
            </c:ext>
          </c:extLst>
        </c:ser>
        <c:ser>
          <c:idx val="5"/>
          <c:order val="6"/>
          <c:tx>
            <c:v>mH2O = 30…35%, measured</c:v>
          </c:tx>
          <c:spPr>
            <a:ln w="19050" cap="rnd">
              <a:noFill/>
              <a:round/>
            </a:ln>
            <a:effectLst/>
          </c:spPr>
          <c:marker>
            <c:symbol val="diamond"/>
            <c:size val="7"/>
            <c:spPr>
              <a:solidFill>
                <a:srgbClr val="7030A0"/>
              </a:solidFill>
              <a:ln w="9525">
                <a:noFill/>
              </a:ln>
              <a:effectLst/>
            </c:spPr>
          </c:marker>
          <c:xVal>
            <c:numRef>
              <c:f>graafikud!$Y$73:$Y$74</c:f>
              <c:numCache>
                <c:formatCode>General</c:formatCode>
                <c:ptCount val="2"/>
                <c:pt idx="0">
                  <c:v>46</c:v>
                </c:pt>
                <c:pt idx="1">
                  <c:v>42</c:v>
                </c:pt>
              </c:numCache>
            </c:numRef>
          </c:xVal>
          <c:yVal>
            <c:numRef>
              <c:f>graafikud!$Z$73:$Z$74</c:f>
              <c:numCache>
                <c:formatCode>General</c:formatCode>
                <c:ptCount val="2"/>
                <c:pt idx="0">
                  <c:v>6.1</c:v>
                </c:pt>
                <c:pt idx="1">
                  <c:v>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7E1-4146-A052-635FEF2EA9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15325808"/>
        <c:axId val="1115339536"/>
      </c:scatterChart>
      <c:valAx>
        <c:axId val="1115325808"/>
        <c:scaling>
          <c:orientation val="minMax"/>
          <c:max val="50"/>
          <c:min val="4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t-EE" baseline="0">
                    <a:latin typeface="+mn-lt"/>
                    <a:cs typeface="+mn-cs"/>
                  </a:rPr>
                  <a:t>Kaugkütte tagasivoolu temperatuur, </a:t>
                </a:r>
                <a:r>
                  <a:rPr lang="et-EE" i="1" baseline="0">
                    <a:latin typeface="+mn-lt"/>
                    <a:cs typeface="+mn-cs"/>
                  </a:rPr>
                  <a:t>t''</a:t>
                </a:r>
                <a:r>
                  <a:rPr lang="et-EE" baseline="0">
                    <a:latin typeface="Calibri Light" panose="020F0302020204030204" pitchFamily="34" charset="0"/>
                    <a:cs typeface="Calibri Light" panose="020F0302020204030204" pitchFamily="34" charset="0"/>
                  </a:rPr>
                  <a:t>°C)</a:t>
                </a:r>
                <a:endParaRPr lang="et-EE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t-E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t-EE"/>
          </a:p>
        </c:txPr>
        <c:crossAx val="1115339536"/>
        <c:crosses val="autoZero"/>
        <c:crossBetween val="midCat"/>
      </c:valAx>
      <c:valAx>
        <c:axId val="1115339536"/>
        <c:scaling>
          <c:orientation val="minMax"/>
          <c:max val="12"/>
          <c:min val="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t-EE" baseline="0">
                    <a:latin typeface="+mj-lt"/>
                  </a:rPr>
                  <a:t>Suitsugaaside kondensaatori soojustagastus, </a:t>
                </a:r>
                <a:r>
                  <a:rPr lang="et-EE" i="1" baseline="0">
                    <a:latin typeface="+mj-lt"/>
                  </a:rPr>
                  <a:t>Q</a:t>
                </a:r>
                <a:r>
                  <a:rPr lang="et-EE" i="1" baseline="-25000">
                    <a:latin typeface="+mj-lt"/>
                  </a:rPr>
                  <a:t>SGK </a:t>
                </a:r>
                <a:r>
                  <a:rPr lang="et-EE" baseline="0">
                    <a:latin typeface="+mj-lt"/>
                  </a:rPr>
                  <a:t> (MW)</a:t>
                </a:r>
                <a:endParaRPr lang="et-EE">
                  <a:latin typeface="+mj-lt"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t-EE"/>
            </a:p>
          </c:txPr>
        </c:title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t-EE"/>
          </a:p>
        </c:txPr>
        <c:crossAx val="111532580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t-E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t-E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PES!$B$6:$B$43</c:f>
              <c:numCache>
                <c:formatCode>General</c:formatCode>
                <c:ptCount val="38"/>
                <c:pt idx="0">
                  <c:v>30</c:v>
                </c:pt>
                <c:pt idx="1">
                  <c:v>31</c:v>
                </c:pt>
                <c:pt idx="2">
                  <c:v>32</c:v>
                </c:pt>
                <c:pt idx="3">
                  <c:v>33</c:v>
                </c:pt>
                <c:pt idx="4">
                  <c:v>34</c:v>
                </c:pt>
                <c:pt idx="5">
                  <c:v>35</c:v>
                </c:pt>
                <c:pt idx="6">
                  <c:v>36</c:v>
                </c:pt>
                <c:pt idx="7">
                  <c:v>37</c:v>
                </c:pt>
                <c:pt idx="8">
                  <c:v>38</c:v>
                </c:pt>
                <c:pt idx="9">
                  <c:v>39</c:v>
                </c:pt>
                <c:pt idx="10">
                  <c:v>40</c:v>
                </c:pt>
                <c:pt idx="11">
                  <c:v>41</c:v>
                </c:pt>
                <c:pt idx="12">
                  <c:v>42</c:v>
                </c:pt>
                <c:pt idx="13">
                  <c:v>43</c:v>
                </c:pt>
                <c:pt idx="14">
                  <c:v>44</c:v>
                </c:pt>
                <c:pt idx="15">
                  <c:v>45</c:v>
                </c:pt>
                <c:pt idx="16">
                  <c:v>46</c:v>
                </c:pt>
                <c:pt idx="17">
                  <c:v>47</c:v>
                </c:pt>
                <c:pt idx="18">
                  <c:v>48</c:v>
                </c:pt>
                <c:pt idx="19">
                  <c:v>49</c:v>
                </c:pt>
                <c:pt idx="20">
                  <c:v>50</c:v>
                </c:pt>
                <c:pt idx="21">
                  <c:v>51</c:v>
                </c:pt>
                <c:pt idx="22">
                  <c:v>52</c:v>
                </c:pt>
                <c:pt idx="23">
                  <c:v>53</c:v>
                </c:pt>
                <c:pt idx="24">
                  <c:v>54</c:v>
                </c:pt>
                <c:pt idx="25">
                  <c:v>55</c:v>
                </c:pt>
                <c:pt idx="26">
                  <c:v>56</c:v>
                </c:pt>
                <c:pt idx="27">
                  <c:v>57</c:v>
                </c:pt>
                <c:pt idx="28">
                  <c:v>58</c:v>
                </c:pt>
                <c:pt idx="29">
                  <c:v>59</c:v>
                </c:pt>
                <c:pt idx="30">
                  <c:v>60</c:v>
                </c:pt>
                <c:pt idx="31">
                  <c:v>61</c:v>
                </c:pt>
                <c:pt idx="32">
                  <c:v>62</c:v>
                </c:pt>
                <c:pt idx="33">
                  <c:v>63</c:v>
                </c:pt>
                <c:pt idx="34">
                  <c:v>64</c:v>
                </c:pt>
                <c:pt idx="35">
                  <c:v>65</c:v>
                </c:pt>
                <c:pt idx="36">
                  <c:v>66</c:v>
                </c:pt>
              </c:numCache>
            </c:numRef>
          </c:xVal>
          <c:yVal>
            <c:numRef>
              <c:f>PES!$C$6:$C$43</c:f>
              <c:numCache>
                <c:formatCode>0.0000</c:formatCode>
                <c:ptCount val="38"/>
                <c:pt idx="0">
                  <c:v>0.18543839099959991</c:v>
                </c:pt>
                <c:pt idx="1">
                  <c:v>0.18622321927165339</c:v>
                </c:pt>
                <c:pt idx="2">
                  <c:v>0.18676162644422006</c:v>
                </c:pt>
                <c:pt idx="3">
                  <c:v>0.18730872866453321</c:v>
                </c:pt>
                <c:pt idx="4">
                  <c:v>0.18766928106056976</c:v>
                </c:pt>
                <c:pt idx="5">
                  <c:v>0.18815602743539797</c:v>
                </c:pt>
                <c:pt idx="6">
                  <c:v>0.18847021887736273</c:v>
                </c:pt>
                <c:pt idx="7">
                  <c:v>0.18852361007268056</c:v>
                </c:pt>
                <c:pt idx="8">
                  <c:v>0.18865149055247532</c:v>
                </c:pt>
                <c:pt idx="9">
                  <c:v>0.18871839635952808</c:v>
                </c:pt>
                <c:pt idx="10">
                  <c:v>0.18720313865088989</c:v>
                </c:pt>
                <c:pt idx="11">
                  <c:v>0.18502369967198112</c:v>
                </c:pt>
                <c:pt idx="12">
                  <c:v>0.18289868624883596</c:v>
                </c:pt>
                <c:pt idx="13">
                  <c:v>0.18055258284647832</c:v>
                </c:pt>
                <c:pt idx="14">
                  <c:v>0.17833471745818691</c:v>
                </c:pt>
                <c:pt idx="15">
                  <c:v>0.17542686863422582</c:v>
                </c:pt>
                <c:pt idx="16">
                  <c:v>0.17110590275289589</c:v>
                </c:pt>
                <c:pt idx="17">
                  <c:v>0.16626269006627178</c:v>
                </c:pt>
                <c:pt idx="18">
                  <c:v>0.16140548996163134</c:v>
                </c:pt>
                <c:pt idx="19">
                  <c:v>0.15627852716674542</c:v>
                </c:pt>
                <c:pt idx="20">
                  <c:v>0.15127082880833076</c:v>
                </c:pt>
                <c:pt idx="21">
                  <c:v>0.14536851755521549</c:v>
                </c:pt>
                <c:pt idx="22">
                  <c:v>0.13944892772690354</c:v>
                </c:pt>
                <c:pt idx="23">
                  <c:v>0.13351205932339499</c:v>
                </c:pt>
                <c:pt idx="24">
                  <c:v>0.12653134687979417</c:v>
                </c:pt>
                <c:pt idx="25">
                  <c:v>0.12028332183059598</c:v>
                </c:pt>
                <c:pt idx="26">
                  <c:v>0.11252030875902704</c:v>
                </c:pt>
                <c:pt idx="27">
                  <c:v>0.1044774617019297</c:v>
                </c:pt>
                <c:pt idx="28">
                  <c:v>9.5639237224690171E-2</c:v>
                </c:pt>
                <c:pt idx="29">
                  <c:v>8.6517054973469718E-2</c:v>
                </c:pt>
                <c:pt idx="30">
                  <c:v>7.8333849308504844E-2</c:v>
                </c:pt>
                <c:pt idx="31">
                  <c:v>6.8167987161594945E-2</c:v>
                </c:pt>
                <c:pt idx="32">
                  <c:v>5.7198803150535889E-2</c:v>
                </c:pt>
                <c:pt idx="33">
                  <c:v>4.5938614509810745E-2</c:v>
                </c:pt>
                <c:pt idx="34">
                  <c:v>3.3869330701102658E-2</c:v>
                </c:pt>
                <c:pt idx="35">
                  <c:v>2.1428713566400553E-2</c:v>
                </c:pt>
                <c:pt idx="36">
                  <c:v>7.0146435912444268E-3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C00-4EAE-9E6B-65C31EE2FA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19243071"/>
        <c:axId val="619240991"/>
      </c:scatterChart>
      <c:valAx>
        <c:axId val="619243071"/>
        <c:scaling>
          <c:orientation val="minMax"/>
          <c:max val="67"/>
          <c:min val="3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K</a:t>
                </a:r>
                <a:r>
                  <a:rPr lang="et-EE"/>
                  <a:t>augkütte tagasivoolu</a:t>
                </a:r>
                <a:r>
                  <a:rPr lang="et-EE" baseline="0"/>
                  <a:t> temperatuur </a:t>
                </a:r>
                <a:r>
                  <a:rPr lang="et-EE" i="1" baseline="0"/>
                  <a:t>t'' </a:t>
                </a:r>
                <a:r>
                  <a:rPr lang="et-EE" i="0" baseline="0"/>
                  <a:t>(</a:t>
                </a:r>
                <a:r>
                  <a:rPr lang="et-EE" i="0" baseline="0">
                    <a:latin typeface="Calibri Light" panose="020F0302020204030204" pitchFamily="34" charset="0"/>
                    <a:cs typeface="Calibri Light" panose="020F0302020204030204" pitchFamily="34" charset="0"/>
                  </a:rPr>
                  <a:t>°C)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66605596243375764"/>
              <c:y val="0.9036682086201542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t-E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t-EE"/>
          </a:p>
        </c:txPr>
        <c:crossAx val="619240991"/>
        <c:crosses val="autoZero"/>
        <c:crossBetween val="midCat"/>
      </c:valAx>
      <c:valAx>
        <c:axId val="6192409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t-EE"/>
                  <a:t>Võimalik</a:t>
                </a:r>
                <a:r>
                  <a:rPr lang="et-EE" baseline="0"/>
                  <a:t> primaarenergia sääst </a:t>
                </a:r>
                <a:r>
                  <a:rPr lang="et-EE" i="1" baseline="0"/>
                  <a:t>PES</a:t>
                </a:r>
                <a:r>
                  <a:rPr lang="et-EE" i="1" baseline="-25000"/>
                  <a:t>MWh</a:t>
                </a:r>
                <a:r>
                  <a:rPr lang="et-EE" i="1" baseline="0"/>
                  <a:t> (MWh/MWh)</a:t>
                </a:r>
                <a:endParaRPr lang="et-EE" baseline="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t-EE"/>
            </a:p>
          </c:txPr>
        </c:title>
        <c:numFmt formatCode="0.0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t-EE"/>
          </a:p>
        </c:txPr>
        <c:crossAx val="61924307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t-E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9"/>
          <c:order val="0"/>
          <c:tx>
            <c:v>mH2O = 50%</c:v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'kasutegur, efektiivsus'!$B$4:$B$38</c:f>
              <c:numCache>
                <c:formatCode>General</c:formatCode>
                <c:ptCount val="35"/>
                <c:pt idx="0">
                  <c:v>30</c:v>
                </c:pt>
                <c:pt idx="1">
                  <c:v>31</c:v>
                </c:pt>
                <c:pt idx="2">
                  <c:v>32</c:v>
                </c:pt>
                <c:pt idx="3">
                  <c:v>33</c:v>
                </c:pt>
                <c:pt idx="4">
                  <c:v>34</c:v>
                </c:pt>
                <c:pt idx="5">
                  <c:v>35</c:v>
                </c:pt>
                <c:pt idx="6">
                  <c:v>36</c:v>
                </c:pt>
                <c:pt idx="7">
                  <c:v>37</c:v>
                </c:pt>
                <c:pt idx="8">
                  <c:v>38</c:v>
                </c:pt>
                <c:pt idx="9">
                  <c:v>39</c:v>
                </c:pt>
                <c:pt idx="10">
                  <c:v>40</c:v>
                </c:pt>
                <c:pt idx="11">
                  <c:v>41</c:v>
                </c:pt>
                <c:pt idx="12">
                  <c:v>42</c:v>
                </c:pt>
                <c:pt idx="13">
                  <c:v>43</c:v>
                </c:pt>
                <c:pt idx="14">
                  <c:v>44</c:v>
                </c:pt>
                <c:pt idx="15">
                  <c:v>45</c:v>
                </c:pt>
                <c:pt idx="16">
                  <c:v>46</c:v>
                </c:pt>
                <c:pt idx="17">
                  <c:v>47</c:v>
                </c:pt>
                <c:pt idx="18">
                  <c:v>48</c:v>
                </c:pt>
                <c:pt idx="19">
                  <c:v>49</c:v>
                </c:pt>
                <c:pt idx="20">
                  <c:v>50</c:v>
                </c:pt>
                <c:pt idx="21">
                  <c:v>51</c:v>
                </c:pt>
                <c:pt idx="22">
                  <c:v>52</c:v>
                </c:pt>
                <c:pt idx="23">
                  <c:v>53</c:v>
                </c:pt>
                <c:pt idx="24">
                  <c:v>54</c:v>
                </c:pt>
                <c:pt idx="25">
                  <c:v>55</c:v>
                </c:pt>
                <c:pt idx="26">
                  <c:v>56</c:v>
                </c:pt>
                <c:pt idx="27">
                  <c:v>57</c:v>
                </c:pt>
                <c:pt idx="28">
                  <c:v>58</c:v>
                </c:pt>
                <c:pt idx="29">
                  <c:v>59</c:v>
                </c:pt>
                <c:pt idx="30">
                  <c:v>60</c:v>
                </c:pt>
                <c:pt idx="31">
                  <c:v>61</c:v>
                </c:pt>
                <c:pt idx="32">
                  <c:v>62</c:v>
                </c:pt>
                <c:pt idx="33">
                  <c:v>63</c:v>
                </c:pt>
                <c:pt idx="34">
                  <c:v>64</c:v>
                </c:pt>
              </c:numCache>
            </c:numRef>
          </c:xVal>
          <c:yVal>
            <c:numRef>
              <c:f>'kasutegur, efektiivsus'!$L$4:$L$38</c:f>
              <c:numCache>
                <c:formatCode>0%</c:formatCode>
                <c:ptCount val="35"/>
                <c:pt idx="0">
                  <c:v>1.146006862610861</c:v>
                </c:pt>
                <c:pt idx="1">
                  <c:v>1.1505471325746006</c:v>
                </c:pt>
                <c:pt idx="2">
                  <c:v>1.1533289333944416</c:v>
                </c:pt>
                <c:pt idx="3">
                  <c:v>1.1560991289337281</c:v>
                </c:pt>
                <c:pt idx="4">
                  <c:v>1.1582832700023937</c:v>
                </c:pt>
                <c:pt idx="5">
                  <c:v>1.1606954591565835</c:v>
                </c:pt>
                <c:pt idx="6">
                  <c:v>1.1621409459937888</c:v>
                </c:pt>
                <c:pt idx="7">
                  <c:v>1.1625750673983573</c:v>
                </c:pt>
                <c:pt idx="8">
                  <c:v>1.1635067241427577</c:v>
                </c:pt>
                <c:pt idx="9">
                  <c:v>1.1634761784169452</c:v>
                </c:pt>
                <c:pt idx="10">
                  <c:v>1.1596936187166109</c:v>
                </c:pt>
                <c:pt idx="11">
                  <c:v>1.1540626307316686</c:v>
                </c:pt>
                <c:pt idx="12">
                  <c:v>1.1566117842063712</c:v>
                </c:pt>
                <c:pt idx="13">
                  <c:v>1.1544724061315321</c:v>
                </c:pt>
                <c:pt idx="14">
                  <c:v>1.1513147782564634</c:v>
                </c:pt>
                <c:pt idx="15">
                  <c:v>1.148495319357473</c:v>
                </c:pt>
                <c:pt idx="16">
                  <c:v>1.143725975421499</c:v>
                </c:pt>
                <c:pt idx="17">
                  <c:v>1.1387771552647454</c:v>
                </c:pt>
                <c:pt idx="18">
                  <c:v>1.1334513218950069</c:v>
                </c:pt>
                <c:pt idx="19">
                  <c:v>1.1236644892871885</c:v>
                </c:pt>
                <c:pt idx="20">
                  <c:v>1.0975532057135149</c:v>
                </c:pt>
                <c:pt idx="21">
                  <c:v>1.0677596748451055</c:v>
                </c:pt>
                <c:pt idx="22">
                  <c:v>1.0362879493997434</c:v>
                </c:pt>
                <c:pt idx="23">
                  <c:v>1.0047241043941815</c:v>
                </c:pt>
                <c:pt idx="24">
                  <c:v>0.96987551878153644</c:v>
                </c:pt>
                <c:pt idx="25">
                  <c:v>0.93748980424094319</c:v>
                </c:pt>
                <c:pt idx="26">
                  <c:v>0.8961952666238413</c:v>
                </c:pt>
                <c:pt idx="27">
                  <c:v>0.85477760908417644</c:v>
                </c:pt>
                <c:pt idx="28">
                  <c:v>0.81003784399195577</c:v>
                </c:pt>
                <c:pt idx="29">
                  <c:v>0.76356264017024256</c:v>
                </c:pt>
                <c:pt idx="30">
                  <c:v>0.720610216939362</c:v>
                </c:pt>
                <c:pt idx="31">
                  <c:v>0.66765805167368897</c:v>
                </c:pt>
                <c:pt idx="32">
                  <c:v>0.61134228587439832</c:v>
                </c:pt>
                <c:pt idx="33">
                  <c:v>0.55325237986637588</c:v>
                </c:pt>
                <c:pt idx="34">
                  <c:v>0.49016580802727472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342B-491E-9D56-E818AEC0C003}"/>
            </c:ext>
          </c:extLst>
        </c:ser>
        <c:ser>
          <c:idx val="7"/>
          <c:order val="1"/>
          <c:tx>
            <c:v>mH2O = 45%</c:v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'kasutegur, efektiivsus'!$B$4:$B$38</c:f>
              <c:numCache>
                <c:formatCode>General</c:formatCode>
                <c:ptCount val="35"/>
                <c:pt idx="0">
                  <c:v>30</c:v>
                </c:pt>
                <c:pt idx="1">
                  <c:v>31</c:v>
                </c:pt>
                <c:pt idx="2">
                  <c:v>32</c:v>
                </c:pt>
                <c:pt idx="3">
                  <c:v>33</c:v>
                </c:pt>
                <c:pt idx="4">
                  <c:v>34</c:v>
                </c:pt>
                <c:pt idx="5">
                  <c:v>35</c:v>
                </c:pt>
                <c:pt idx="6">
                  <c:v>36</c:v>
                </c:pt>
                <c:pt idx="7">
                  <c:v>37</c:v>
                </c:pt>
                <c:pt idx="8">
                  <c:v>38</c:v>
                </c:pt>
                <c:pt idx="9">
                  <c:v>39</c:v>
                </c:pt>
                <c:pt idx="10">
                  <c:v>40</c:v>
                </c:pt>
                <c:pt idx="11">
                  <c:v>41</c:v>
                </c:pt>
                <c:pt idx="12">
                  <c:v>42</c:v>
                </c:pt>
                <c:pt idx="13">
                  <c:v>43</c:v>
                </c:pt>
                <c:pt idx="14">
                  <c:v>44</c:v>
                </c:pt>
                <c:pt idx="15">
                  <c:v>45</c:v>
                </c:pt>
                <c:pt idx="16">
                  <c:v>46</c:v>
                </c:pt>
                <c:pt idx="17">
                  <c:v>47</c:v>
                </c:pt>
                <c:pt idx="18">
                  <c:v>48</c:v>
                </c:pt>
                <c:pt idx="19">
                  <c:v>49</c:v>
                </c:pt>
                <c:pt idx="20">
                  <c:v>50</c:v>
                </c:pt>
                <c:pt idx="21">
                  <c:v>51</c:v>
                </c:pt>
                <c:pt idx="22">
                  <c:v>52</c:v>
                </c:pt>
                <c:pt idx="23">
                  <c:v>53</c:v>
                </c:pt>
                <c:pt idx="24">
                  <c:v>54</c:v>
                </c:pt>
                <c:pt idx="25">
                  <c:v>55</c:v>
                </c:pt>
                <c:pt idx="26">
                  <c:v>56</c:v>
                </c:pt>
                <c:pt idx="27">
                  <c:v>57</c:v>
                </c:pt>
                <c:pt idx="28">
                  <c:v>58</c:v>
                </c:pt>
                <c:pt idx="29">
                  <c:v>59</c:v>
                </c:pt>
                <c:pt idx="30">
                  <c:v>60</c:v>
                </c:pt>
                <c:pt idx="31">
                  <c:v>61</c:v>
                </c:pt>
                <c:pt idx="32">
                  <c:v>62</c:v>
                </c:pt>
                <c:pt idx="33">
                  <c:v>63</c:v>
                </c:pt>
                <c:pt idx="34">
                  <c:v>64</c:v>
                </c:pt>
              </c:numCache>
            </c:numRef>
          </c:xVal>
          <c:yVal>
            <c:numRef>
              <c:f>'kasutegur, efektiivsus'!$J$4:$J$38</c:f>
              <c:numCache>
                <c:formatCode>0%</c:formatCode>
                <c:ptCount val="35"/>
                <c:pt idx="0">
                  <c:v>0.97473537994153858</c:v>
                </c:pt>
                <c:pt idx="1">
                  <c:v>0.97819226404922788</c:v>
                </c:pt>
                <c:pt idx="2">
                  <c:v>0.98013805738342108</c:v>
                </c:pt>
                <c:pt idx="3">
                  <c:v>0.98243135716096197</c:v>
                </c:pt>
                <c:pt idx="4">
                  <c:v>0.98385322175586076</c:v>
                </c:pt>
                <c:pt idx="5">
                  <c:v>0.98549154813190498</c:v>
                </c:pt>
                <c:pt idx="6">
                  <c:v>0.9866502604963413</c:v>
                </c:pt>
                <c:pt idx="7">
                  <c:v>0.98656408898136427</c:v>
                </c:pt>
                <c:pt idx="8">
                  <c:v>0.98682546176974384</c:v>
                </c:pt>
                <c:pt idx="9">
                  <c:v>0.98641694835709592</c:v>
                </c:pt>
                <c:pt idx="10">
                  <c:v>0.97933072501700202</c:v>
                </c:pt>
                <c:pt idx="11">
                  <c:v>0.97796071188625666</c:v>
                </c:pt>
                <c:pt idx="12">
                  <c:v>0.97983877831331767</c:v>
                </c:pt>
                <c:pt idx="13">
                  <c:v>0.9771225071397871</c:v>
                </c:pt>
                <c:pt idx="14">
                  <c:v>0.97391482328736778</c:v>
                </c:pt>
                <c:pt idx="15">
                  <c:v>0.97062273040490887</c:v>
                </c:pt>
                <c:pt idx="16">
                  <c:v>0.96642982127423083</c:v>
                </c:pt>
                <c:pt idx="17">
                  <c:v>0.96123951858764045</c:v>
                </c:pt>
                <c:pt idx="18">
                  <c:v>0.95612931029057413</c:v>
                </c:pt>
                <c:pt idx="19">
                  <c:v>0.94923920719423771</c:v>
                </c:pt>
                <c:pt idx="20">
                  <c:v>0.9247323709629609</c:v>
                </c:pt>
                <c:pt idx="21">
                  <c:v>0.89531777272122304</c:v>
                </c:pt>
                <c:pt idx="22">
                  <c:v>0.86440958135898738</c:v>
                </c:pt>
                <c:pt idx="23">
                  <c:v>0.8334108462275821</c:v>
                </c:pt>
                <c:pt idx="24">
                  <c:v>0.79949735987051718</c:v>
                </c:pt>
                <c:pt idx="25">
                  <c:v>0.76798399991391064</c:v>
                </c:pt>
                <c:pt idx="26">
                  <c:v>0.72836232895649611</c:v>
                </c:pt>
                <c:pt idx="27">
                  <c:v>0.68862266950370665</c:v>
                </c:pt>
                <c:pt idx="28">
                  <c:v>0.64310534282438803</c:v>
                </c:pt>
                <c:pt idx="29">
                  <c:v>0.59745187557348256</c:v>
                </c:pt>
                <c:pt idx="30">
                  <c:v>0.55664951094981852</c:v>
                </c:pt>
                <c:pt idx="31">
                  <c:v>0.50526111171095223</c:v>
                </c:pt>
                <c:pt idx="32">
                  <c:v>0.44946625264935375</c:v>
                </c:pt>
                <c:pt idx="33">
                  <c:v>0.39350348688279863</c:v>
                </c:pt>
                <c:pt idx="34">
                  <c:v>0.33168510610182966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342B-491E-9D56-E818AEC0C003}"/>
            </c:ext>
          </c:extLst>
        </c:ser>
        <c:ser>
          <c:idx val="5"/>
          <c:order val="2"/>
          <c:tx>
            <c:v>mH2O = 40%</c:v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xVal>
            <c:numRef>
              <c:f>'kasutegur, efektiivsus'!$B$4:$B$38</c:f>
              <c:numCache>
                <c:formatCode>General</c:formatCode>
                <c:ptCount val="35"/>
                <c:pt idx="0">
                  <c:v>30</c:v>
                </c:pt>
                <c:pt idx="1">
                  <c:v>31</c:v>
                </c:pt>
                <c:pt idx="2">
                  <c:v>32</c:v>
                </c:pt>
                <c:pt idx="3">
                  <c:v>33</c:v>
                </c:pt>
                <c:pt idx="4">
                  <c:v>34</c:v>
                </c:pt>
                <c:pt idx="5">
                  <c:v>35</c:v>
                </c:pt>
                <c:pt idx="6">
                  <c:v>36</c:v>
                </c:pt>
                <c:pt idx="7">
                  <c:v>37</c:v>
                </c:pt>
                <c:pt idx="8">
                  <c:v>38</c:v>
                </c:pt>
                <c:pt idx="9">
                  <c:v>39</c:v>
                </c:pt>
                <c:pt idx="10">
                  <c:v>40</c:v>
                </c:pt>
                <c:pt idx="11">
                  <c:v>41</c:v>
                </c:pt>
                <c:pt idx="12">
                  <c:v>42</c:v>
                </c:pt>
                <c:pt idx="13">
                  <c:v>43</c:v>
                </c:pt>
                <c:pt idx="14">
                  <c:v>44</c:v>
                </c:pt>
                <c:pt idx="15">
                  <c:v>45</c:v>
                </c:pt>
                <c:pt idx="16">
                  <c:v>46</c:v>
                </c:pt>
                <c:pt idx="17">
                  <c:v>47</c:v>
                </c:pt>
                <c:pt idx="18">
                  <c:v>48</c:v>
                </c:pt>
                <c:pt idx="19">
                  <c:v>49</c:v>
                </c:pt>
                <c:pt idx="20">
                  <c:v>50</c:v>
                </c:pt>
                <c:pt idx="21">
                  <c:v>51</c:v>
                </c:pt>
                <c:pt idx="22">
                  <c:v>52</c:v>
                </c:pt>
                <c:pt idx="23">
                  <c:v>53</c:v>
                </c:pt>
                <c:pt idx="24">
                  <c:v>54</c:v>
                </c:pt>
                <c:pt idx="25">
                  <c:v>55</c:v>
                </c:pt>
                <c:pt idx="26">
                  <c:v>56</c:v>
                </c:pt>
                <c:pt idx="27">
                  <c:v>57</c:v>
                </c:pt>
                <c:pt idx="28">
                  <c:v>58</c:v>
                </c:pt>
                <c:pt idx="29">
                  <c:v>59</c:v>
                </c:pt>
                <c:pt idx="30">
                  <c:v>60</c:v>
                </c:pt>
                <c:pt idx="31">
                  <c:v>61</c:v>
                </c:pt>
                <c:pt idx="32">
                  <c:v>62</c:v>
                </c:pt>
                <c:pt idx="33">
                  <c:v>63</c:v>
                </c:pt>
                <c:pt idx="34">
                  <c:v>64</c:v>
                </c:pt>
              </c:numCache>
            </c:numRef>
          </c:xVal>
          <c:yVal>
            <c:numRef>
              <c:f>'kasutegur, efektiivsus'!$H$4:$H$38</c:f>
              <c:numCache>
                <c:formatCode>0%</c:formatCode>
                <c:ptCount val="35"/>
                <c:pt idx="0">
                  <c:v>0.84114126654474886</c:v>
                </c:pt>
                <c:pt idx="1">
                  <c:v>0.843793610409725</c:v>
                </c:pt>
                <c:pt idx="2">
                  <c:v>0.84542719123823451</c:v>
                </c:pt>
                <c:pt idx="3">
                  <c:v>0.84706602933763631</c:v>
                </c:pt>
                <c:pt idx="4">
                  <c:v>0.84793615040726278</c:v>
                </c:pt>
                <c:pt idx="5">
                  <c:v>0.84931905424118737</c:v>
                </c:pt>
                <c:pt idx="6">
                  <c:v>0.84996024612302079</c:v>
                </c:pt>
                <c:pt idx="7">
                  <c:v>0.84951878802888281</c:v>
                </c:pt>
                <c:pt idx="8">
                  <c:v>0.84936765425013327</c:v>
                </c:pt>
                <c:pt idx="9">
                  <c:v>0.84896023817917399</c:v>
                </c:pt>
                <c:pt idx="10">
                  <c:v>0.84254968920166362</c:v>
                </c:pt>
                <c:pt idx="11">
                  <c:v>0.84062930893915822</c:v>
                </c:pt>
                <c:pt idx="12">
                  <c:v>0.8419949454894442</c:v>
                </c:pt>
                <c:pt idx="13">
                  <c:v>0.83923835103947342</c:v>
                </c:pt>
                <c:pt idx="14">
                  <c:v>0.83603622681734235</c:v>
                </c:pt>
                <c:pt idx="15">
                  <c:v>0.83278809919575203</c:v>
                </c:pt>
                <c:pt idx="16">
                  <c:v>0.82835427521107952</c:v>
                </c:pt>
                <c:pt idx="17">
                  <c:v>0.82340341708492515</c:v>
                </c:pt>
                <c:pt idx="18">
                  <c:v>0.81812885620825071</c:v>
                </c:pt>
                <c:pt idx="19">
                  <c:v>0.81165877151614385</c:v>
                </c:pt>
                <c:pt idx="20">
                  <c:v>0.79100599377272662</c:v>
                </c:pt>
                <c:pt idx="21">
                  <c:v>0.76188989236110893</c:v>
                </c:pt>
                <c:pt idx="22">
                  <c:v>0.73268855573804603</c:v>
                </c:pt>
                <c:pt idx="23">
                  <c:v>0.70340198390353847</c:v>
                </c:pt>
                <c:pt idx="24">
                  <c:v>0.6689661294192556</c:v>
                </c:pt>
                <c:pt idx="25">
                  <c:v>0.63814462185156096</c:v>
                </c:pt>
                <c:pt idx="26">
                  <c:v>0.59984967836951131</c:v>
                </c:pt>
                <c:pt idx="27">
                  <c:v>0.56017431383685024</c:v>
                </c:pt>
                <c:pt idx="28">
                  <c:v>0.51657535249062769</c:v>
                </c:pt>
                <c:pt idx="29">
                  <c:v>0.47157562744535714</c:v>
                </c:pt>
                <c:pt idx="30">
                  <c:v>0.43120787390008547</c:v>
                </c:pt>
                <c:pt idx="31">
                  <c:v>0.38105967592937895</c:v>
                </c:pt>
                <c:pt idx="32">
                  <c:v>0.3269486912028246</c:v>
                </c:pt>
                <c:pt idx="33">
                  <c:v>0.27140218063812749</c:v>
                </c:pt>
                <c:pt idx="34">
                  <c:v>0.21186440360977049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342B-491E-9D56-E818AEC0C003}"/>
            </c:ext>
          </c:extLst>
        </c:ser>
        <c:ser>
          <c:idx val="3"/>
          <c:order val="3"/>
          <c:tx>
            <c:v>mH2O = 35%</c:v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'kasutegur, efektiivsus'!$B$4:$B$38</c:f>
              <c:numCache>
                <c:formatCode>General</c:formatCode>
                <c:ptCount val="35"/>
                <c:pt idx="0">
                  <c:v>30</c:v>
                </c:pt>
                <c:pt idx="1">
                  <c:v>31</c:v>
                </c:pt>
                <c:pt idx="2">
                  <c:v>32</c:v>
                </c:pt>
                <c:pt idx="3">
                  <c:v>33</c:v>
                </c:pt>
                <c:pt idx="4">
                  <c:v>34</c:v>
                </c:pt>
                <c:pt idx="5">
                  <c:v>35</c:v>
                </c:pt>
                <c:pt idx="6">
                  <c:v>36</c:v>
                </c:pt>
                <c:pt idx="7">
                  <c:v>37</c:v>
                </c:pt>
                <c:pt idx="8">
                  <c:v>38</c:v>
                </c:pt>
                <c:pt idx="9">
                  <c:v>39</c:v>
                </c:pt>
                <c:pt idx="10">
                  <c:v>40</c:v>
                </c:pt>
                <c:pt idx="11">
                  <c:v>41</c:v>
                </c:pt>
                <c:pt idx="12">
                  <c:v>42</c:v>
                </c:pt>
                <c:pt idx="13">
                  <c:v>43</c:v>
                </c:pt>
                <c:pt idx="14">
                  <c:v>44</c:v>
                </c:pt>
                <c:pt idx="15">
                  <c:v>45</c:v>
                </c:pt>
                <c:pt idx="16">
                  <c:v>46</c:v>
                </c:pt>
                <c:pt idx="17">
                  <c:v>47</c:v>
                </c:pt>
                <c:pt idx="18">
                  <c:v>48</c:v>
                </c:pt>
                <c:pt idx="19">
                  <c:v>49</c:v>
                </c:pt>
                <c:pt idx="20">
                  <c:v>50</c:v>
                </c:pt>
                <c:pt idx="21">
                  <c:v>51</c:v>
                </c:pt>
                <c:pt idx="22">
                  <c:v>52</c:v>
                </c:pt>
                <c:pt idx="23">
                  <c:v>53</c:v>
                </c:pt>
                <c:pt idx="24">
                  <c:v>54</c:v>
                </c:pt>
                <c:pt idx="25">
                  <c:v>55</c:v>
                </c:pt>
                <c:pt idx="26">
                  <c:v>56</c:v>
                </c:pt>
                <c:pt idx="27">
                  <c:v>57</c:v>
                </c:pt>
                <c:pt idx="28">
                  <c:v>58</c:v>
                </c:pt>
                <c:pt idx="29">
                  <c:v>59</c:v>
                </c:pt>
                <c:pt idx="30">
                  <c:v>60</c:v>
                </c:pt>
                <c:pt idx="31">
                  <c:v>61</c:v>
                </c:pt>
                <c:pt idx="32">
                  <c:v>62</c:v>
                </c:pt>
                <c:pt idx="33">
                  <c:v>63</c:v>
                </c:pt>
                <c:pt idx="34">
                  <c:v>64</c:v>
                </c:pt>
              </c:numCache>
            </c:numRef>
          </c:xVal>
          <c:yVal>
            <c:numRef>
              <c:f>'kasutegur, efektiivsus'!$F$4:$F$38</c:f>
              <c:numCache>
                <c:formatCode>0%</c:formatCode>
                <c:ptCount val="35"/>
                <c:pt idx="0">
                  <c:v>0.73242801556237103</c:v>
                </c:pt>
                <c:pt idx="1">
                  <c:v>0.73469454483737429</c:v>
                </c:pt>
                <c:pt idx="2">
                  <c:v>0.73581324828022643</c:v>
                </c:pt>
                <c:pt idx="3">
                  <c:v>0.73719408520685947</c:v>
                </c:pt>
                <c:pt idx="4">
                  <c:v>0.73763701911967727</c:v>
                </c:pt>
                <c:pt idx="5">
                  <c:v>0.73853666319399536</c:v>
                </c:pt>
                <c:pt idx="6">
                  <c:v>0.73877212037993645</c:v>
                </c:pt>
                <c:pt idx="7">
                  <c:v>0.73832357475841615</c:v>
                </c:pt>
                <c:pt idx="8">
                  <c:v>0.73785516395798623</c:v>
                </c:pt>
                <c:pt idx="9">
                  <c:v>0.73715249998887733</c:v>
                </c:pt>
                <c:pt idx="10">
                  <c:v>0.73128426120911871</c:v>
                </c:pt>
                <c:pt idx="11">
                  <c:v>0.7292372262036988</c:v>
                </c:pt>
                <c:pt idx="12">
                  <c:v>0.73017071591605953</c:v>
                </c:pt>
                <c:pt idx="13">
                  <c:v>0.72768311561639498</c:v>
                </c:pt>
                <c:pt idx="14">
                  <c:v>0.72419142327384023</c:v>
                </c:pt>
                <c:pt idx="15">
                  <c:v>0.72098097125775817</c:v>
                </c:pt>
                <c:pt idx="16">
                  <c:v>0.71668630693534441</c:v>
                </c:pt>
                <c:pt idx="17">
                  <c:v>0.71192388062571765</c:v>
                </c:pt>
                <c:pt idx="18">
                  <c:v>0.70653569601411736</c:v>
                </c:pt>
                <c:pt idx="19">
                  <c:v>0.70006192894695385</c:v>
                </c:pt>
                <c:pt idx="20">
                  <c:v>0.67923374501596678</c:v>
                </c:pt>
                <c:pt idx="21">
                  <c:v>0.65036200719058646</c:v>
                </c:pt>
                <c:pt idx="22">
                  <c:v>0.62140566900522631</c:v>
                </c:pt>
                <c:pt idx="23">
                  <c:v>0.59236473045988625</c:v>
                </c:pt>
                <c:pt idx="24">
                  <c:v>0.55864993441517519</c:v>
                </c:pt>
                <c:pt idx="25">
                  <c:v>0.52839054711735001</c:v>
                </c:pt>
                <c:pt idx="26">
                  <c:v>0.49002763579173092</c:v>
                </c:pt>
                <c:pt idx="27">
                  <c:v>0.4515504251031226</c:v>
                </c:pt>
                <c:pt idx="28">
                  <c:v>0.40836050621935455</c:v>
                </c:pt>
                <c:pt idx="29">
                  <c:v>0.36504153966769554</c:v>
                </c:pt>
                <c:pt idx="30">
                  <c:v>0.3250269014698442</c:v>
                </c:pt>
                <c:pt idx="31">
                  <c:v>0.27588634946917895</c:v>
                </c:pt>
                <c:pt idx="32">
                  <c:v>0.22199188025673397</c:v>
                </c:pt>
                <c:pt idx="33">
                  <c:v>0.1690886317691721</c:v>
                </c:pt>
                <c:pt idx="34">
                  <c:v>0.10909506530242045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342B-491E-9D56-E818AEC0C0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03081823"/>
        <c:axId val="1403077663"/>
      </c:scatterChart>
      <c:valAx>
        <c:axId val="1403081823"/>
        <c:scaling>
          <c:orientation val="minMax"/>
          <c:max val="65"/>
          <c:min val="3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t-EE"/>
                  <a:t>Kaugkütte tagasivoolu temperatuur</a:t>
                </a:r>
                <a:r>
                  <a:rPr lang="et-EE" baseline="0"/>
                  <a:t> </a:t>
                </a:r>
                <a:r>
                  <a:rPr lang="et-EE" i="1" baseline="0"/>
                  <a:t>t'' </a:t>
                </a:r>
                <a:r>
                  <a:rPr lang="et-EE" i="0" baseline="0"/>
                  <a:t>(</a:t>
                </a:r>
                <a:r>
                  <a:rPr lang="et-EE" i="0" baseline="0">
                    <a:latin typeface="Calibri Light" panose="020F0302020204030204" pitchFamily="34" charset="0"/>
                    <a:cs typeface="Calibri Light" panose="020F0302020204030204" pitchFamily="34" charset="0"/>
                  </a:rPr>
                  <a:t>°C)</a:t>
                </a:r>
                <a:endParaRPr lang="et-EE"/>
              </a:p>
            </c:rich>
          </c:tx>
          <c:layout>
            <c:manualLayout>
              <c:xMode val="edge"/>
              <c:yMode val="edge"/>
              <c:x val="0.4755879978521998"/>
              <c:y val="0.9218967242354374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t-E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t-EE"/>
          </a:p>
        </c:txPr>
        <c:crossAx val="1403077663"/>
        <c:crosses val="autoZero"/>
        <c:crossBetween val="midCat"/>
      </c:valAx>
      <c:valAx>
        <c:axId val="14030776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t-EE"/>
                  <a:t>Suitsugaaside</a:t>
                </a:r>
                <a:r>
                  <a:rPr lang="et-EE" baseline="0"/>
                  <a:t> kondensaatori efektiivsus </a:t>
                </a:r>
                <a:r>
                  <a:rPr lang="el-GR" i="1" baseline="0">
                    <a:latin typeface="Calibri Light" panose="020F0302020204030204" pitchFamily="34" charset="0"/>
                    <a:cs typeface="Calibri Light" panose="020F0302020204030204" pitchFamily="34" charset="0"/>
                  </a:rPr>
                  <a:t>ε</a:t>
                </a:r>
                <a:endParaRPr lang="et-EE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t-EE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t-EE"/>
          </a:p>
        </c:txPr>
        <c:crossAx val="1403081823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t-E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t-E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4"/>
          <c:order val="0"/>
          <c:tx>
            <c:v>mH2O = 50%</c:v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xVal>
            <c:numRef>
              <c:f>'kasutegur, efektiivsus'!$B$4:$B$38</c:f>
              <c:numCache>
                <c:formatCode>General</c:formatCode>
                <c:ptCount val="35"/>
                <c:pt idx="0">
                  <c:v>30</c:v>
                </c:pt>
                <c:pt idx="1">
                  <c:v>31</c:v>
                </c:pt>
                <c:pt idx="2">
                  <c:v>32</c:v>
                </c:pt>
                <c:pt idx="3">
                  <c:v>33</c:v>
                </c:pt>
                <c:pt idx="4">
                  <c:v>34</c:v>
                </c:pt>
                <c:pt idx="5">
                  <c:v>35</c:v>
                </c:pt>
                <c:pt idx="6">
                  <c:v>36</c:v>
                </c:pt>
                <c:pt idx="7">
                  <c:v>37</c:v>
                </c:pt>
                <c:pt idx="8">
                  <c:v>38</c:v>
                </c:pt>
                <c:pt idx="9">
                  <c:v>39</c:v>
                </c:pt>
                <c:pt idx="10">
                  <c:v>40</c:v>
                </c:pt>
                <c:pt idx="11">
                  <c:v>41</c:v>
                </c:pt>
                <c:pt idx="12">
                  <c:v>42</c:v>
                </c:pt>
                <c:pt idx="13">
                  <c:v>43</c:v>
                </c:pt>
                <c:pt idx="14">
                  <c:v>44</c:v>
                </c:pt>
                <c:pt idx="15">
                  <c:v>45</c:v>
                </c:pt>
                <c:pt idx="16">
                  <c:v>46</c:v>
                </c:pt>
                <c:pt idx="17">
                  <c:v>47</c:v>
                </c:pt>
                <c:pt idx="18">
                  <c:v>48</c:v>
                </c:pt>
                <c:pt idx="19">
                  <c:v>49</c:v>
                </c:pt>
                <c:pt idx="20">
                  <c:v>50</c:v>
                </c:pt>
                <c:pt idx="21">
                  <c:v>51</c:v>
                </c:pt>
                <c:pt idx="22">
                  <c:v>52</c:v>
                </c:pt>
                <c:pt idx="23">
                  <c:v>53</c:v>
                </c:pt>
                <c:pt idx="24">
                  <c:v>54</c:v>
                </c:pt>
                <c:pt idx="25">
                  <c:v>55</c:v>
                </c:pt>
                <c:pt idx="26">
                  <c:v>56</c:v>
                </c:pt>
                <c:pt idx="27">
                  <c:v>57</c:v>
                </c:pt>
                <c:pt idx="28">
                  <c:v>58</c:v>
                </c:pt>
                <c:pt idx="29">
                  <c:v>59</c:v>
                </c:pt>
                <c:pt idx="30">
                  <c:v>60</c:v>
                </c:pt>
                <c:pt idx="31">
                  <c:v>61</c:v>
                </c:pt>
                <c:pt idx="32">
                  <c:v>62</c:v>
                </c:pt>
                <c:pt idx="33">
                  <c:v>63</c:v>
                </c:pt>
                <c:pt idx="34">
                  <c:v>64</c:v>
                </c:pt>
              </c:numCache>
            </c:numRef>
          </c:xVal>
          <c:yVal>
            <c:numRef>
              <c:f>'kasutegur, efektiivsus'!$K$4:$K$38</c:f>
              <c:numCache>
                <c:formatCode>0%</c:formatCode>
                <c:ptCount val="35"/>
                <c:pt idx="0">
                  <c:v>0.78689902139257406</c:v>
                </c:pt>
                <c:pt idx="1">
                  <c:v>0.79554301238428138</c:v>
                </c:pt>
                <c:pt idx="2">
                  <c:v>0.8039779072539156</c:v>
                </c:pt>
                <c:pt idx="3">
                  <c:v>0.81346028228105116</c:v>
                </c:pt>
                <c:pt idx="4">
                  <c:v>0.82180826527827222</c:v>
                </c:pt>
                <c:pt idx="5">
                  <c:v>0.83088382984154963</c:v>
                </c:pt>
                <c:pt idx="6">
                  <c:v>0.84091572519188629</c:v>
                </c:pt>
                <c:pt idx="7">
                  <c:v>0.85045316970593698</c:v>
                </c:pt>
                <c:pt idx="8">
                  <c:v>0.8605966631551728</c:v>
                </c:pt>
                <c:pt idx="9">
                  <c:v>0.87130570359121218</c:v>
                </c:pt>
                <c:pt idx="10">
                  <c:v>0.87867038262578634</c:v>
                </c:pt>
                <c:pt idx="11">
                  <c:v>0.88667399568625094</c:v>
                </c:pt>
                <c:pt idx="12">
                  <c:v>0.90131244692281165</c:v>
                </c:pt>
                <c:pt idx="13">
                  <c:v>0.9138493095050122</c:v>
                </c:pt>
                <c:pt idx="14">
                  <c:v>0.92601215152966954</c:v>
                </c:pt>
                <c:pt idx="15">
                  <c:v>0.93887727692819134</c:v>
                </c:pt>
                <c:pt idx="16">
                  <c:v>0.95305841692458459</c:v>
                </c:pt>
                <c:pt idx="17">
                  <c:v>0.96900767401494359</c:v>
                </c:pt>
                <c:pt idx="18">
                  <c:v>0.98538683761388579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C7BC-40C1-A365-9C5A83A052EB}"/>
            </c:ext>
          </c:extLst>
        </c:ser>
        <c:ser>
          <c:idx val="3"/>
          <c:order val="1"/>
          <c:tx>
            <c:v>mH2O = 45%</c:v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'kasutegur, efektiivsus'!$B$4:$B$38</c:f>
              <c:numCache>
                <c:formatCode>General</c:formatCode>
                <c:ptCount val="35"/>
                <c:pt idx="0">
                  <c:v>30</c:v>
                </c:pt>
                <c:pt idx="1">
                  <c:v>31</c:v>
                </c:pt>
                <c:pt idx="2">
                  <c:v>32</c:v>
                </c:pt>
                <c:pt idx="3">
                  <c:v>33</c:v>
                </c:pt>
                <c:pt idx="4">
                  <c:v>34</c:v>
                </c:pt>
                <c:pt idx="5">
                  <c:v>35</c:v>
                </c:pt>
                <c:pt idx="6">
                  <c:v>36</c:v>
                </c:pt>
                <c:pt idx="7">
                  <c:v>37</c:v>
                </c:pt>
                <c:pt idx="8">
                  <c:v>38</c:v>
                </c:pt>
                <c:pt idx="9">
                  <c:v>39</c:v>
                </c:pt>
                <c:pt idx="10">
                  <c:v>40</c:v>
                </c:pt>
                <c:pt idx="11">
                  <c:v>41</c:v>
                </c:pt>
                <c:pt idx="12">
                  <c:v>42</c:v>
                </c:pt>
                <c:pt idx="13">
                  <c:v>43</c:v>
                </c:pt>
                <c:pt idx="14">
                  <c:v>44</c:v>
                </c:pt>
                <c:pt idx="15">
                  <c:v>45</c:v>
                </c:pt>
                <c:pt idx="16">
                  <c:v>46</c:v>
                </c:pt>
                <c:pt idx="17">
                  <c:v>47</c:v>
                </c:pt>
                <c:pt idx="18">
                  <c:v>48</c:v>
                </c:pt>
                <c:pt idx="19">
                  <c:v>49</c:v>
                </c:pt>
                <c:pt idx="20">
                  <c:v>50</c:v>
                </c:pt>
                <c:pt idx="21">
                  <c:v>51</c:v>
                </c:pt>
                <c:pt idx="22">
                  <c:v>52</c:v>
                </c:pt>
                <c:pt idx="23">
                  <c:v>53</c:v>
                </c:pt>
                <c:pt idx="24">
                  <c:v>54</c:v>
                </c:pt>
                <c:pt idx="25">
                  <c:v>55</c:v>
                </c:pt>
                <c:pt idx="26">
                  <c:v>56</c:v>
                </c:pt>
                <c:pt idx="27">
                  <c:v>57</c:v>
                </c:pt>
                <c:pt idx="28">
                  <c:v>58</c:v>
                </c:pt>
                <c:pt idx="29">
                  <c:v>59</c:v>
                </c:pt>
                <c:pt idx="30">
                  <c:v>60</c:v>
                </c:pt>
                <c:pt idx="31">
                  <c:v>61</c:v>
                </c:pt>
                <c:pt idx="32">
                  <c:v>62</c:v>
                </c:pt>
                <c:pt idx="33">
                  <c:v>63</c:v>
                </c:pt>
                <c:pt idx="34">
                  <c:v>64</c:v>
                </c:pt>
              </c:numCache>
            </c:numRef>
          </c:xVal>
          <c:yVal>
            <c:numRef>
              <c:f>'kasutegur, efektiivsus'!$I$4:$I$38</c:f>
              <c:numCache>
                <c:formatCode>0%</c:formatCode>
                <c:ptCount val="35"/>
                <c:pt idx="0">
                  <c:v>0.76506628407025579</c:v>
                </c:pt>
                <c:pt idx="1">
                  <c:v>0.77418376126552002</c:v>
                </c:pt>
                <c:pt idx="2">
                  <c:v>0.78313402582806302</c:v>
                </c:pt>
                <c:pt idx="3">
                  <c:v>0.79255809109321007</c:v>
                </c:pt>
                <c:pt idx="4">
                  <c:v>0.80147770325273848</c:v>
                </c:pt>
                <c:pt idx="5">
                  <c:v>0.81111972064814286</c:v>
                </c:pt>
                <c:pt idx="6">
                  <c:v>0.8211533814233789</c:v>
                </c:pt>
                <c:pt idx="7">
                  <c:v>0.83136691879428659</c:v>
                </c:pt>
                <c:pt idx="8">
                  <c:v>0.84216604109429882</c:v>
                </c:pt>
                <c:pt idx="9">
                  <c:v>0.85372679370821913</c:v>
                </c:pt>
                <c:pt idx="10">
                  <c:v>0.85890751384863029</c:v>
                </c:pt>
                <c:pt idx="11">
                  <c:v>0.87020710651980737</c:v>
                </c:pt>
                <c:pt idx="12">
                  <c:v>0.88592489155199294</c:v>
                </c:pt>
                <c:pt idx="13">
                  <c:v>0.9002942275219612</c:v>
                </c:pt>
                <c:pt idx="14">
                  <c:v>0.91360778963192835</c:v>
                </c:pt>
                <c:pt idx="15">
                  <c:v>0.92847874049946844</c:v>
                </c:pt>
                <c:pt idx="16">
                  <c:v>0.94320299914562578</c:v>
                </c:pt>
                <c:pt idx="17">
                  <c:v>0.96163157241589081</c:v>
                </c:pt>
                <c:pt idx="18">
                  <c:v>0.97975724654261998</c:v>
                </c:pt>
                <c:pt idx="19">
                  <c:v>0.99993744747233582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C7BC-40C1-A365-9C5A83A052EB}"/>
            </c:ext>
          </c:extLst>
        </c:ser>
        <c:ser>
          <c:idx val="2"/>
          <c:order val="2"/>
          <c:tx>
            <c:v>mH2O = 40%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'kasutegur, efektiivsus'!$B$4:$B$38</c:f>
              <c:numCache>
                <c:formatCode>General</c:formatCode>
                <c:ptCount val="35"/>
                <c:pt idx="0">
                  <c:v>30</c:v>
                </c:pt>
                <c:pt idx="1">
                  <c:v>31</c:v>
                </c:pt>
                <c:pt idx="2">
                  <c:v>32</c:v>
                </c:pt>
                <c:pt idx="3">
                  <c:v>33</c:v>
                </c:pt>
                <c:pt idx="4">
                  <c:v>34</c:v>
                </c:pt>
                <c:pt idx="5">
                  <c:v>35</c:v>
                </c:pt>
                <c:pt idx="6">
                  <c:v>36</c:v>
                </c:pt>
                <c:pt idx="7">
                  <c:v>37</c:v>
                </c:pt>
                <c:pt idx="8">
                  <c:v>38</c:v>
                </c:pt>
                <c:pt idx="9">
                  <c:v>39</c:v>
                </c:pt>
                <c:pt idx="10">
                  <c:v>40</c:v>
                </c:pt>
                <c:pt idx="11">
                  <c:v>41</c:v>
                </c:pt>
                <c:pt idx="12">
                  <c:v>42</c:v>
                </c:pt>
                <c:pt idx="13">
                  <c:v>43</c:v>
                </c:pt>
                <c:pt idx="14">
                  <c:v>44</c:v>
                </c:pt>
                <c:pt idx="15">
                  <c:v>45</c:v>
                </c:pt>
                <c:pt idx="16">
                  <c:v>46</c:v>
                </c:pt>
                <c:pt idx="17">
                  <c:v>47</c:v>
                </c:pt>
                <c:pt idx="18">
                  <c:v>48</c:v>
                </c:pt>
                <c:pt idx="19">
                  <c:v>49</c:v>
                </c:pt>
                <c:pt idx="20">
                  <c:v>50</c:v>
                </c:pt>
                <c:pt idx="21">
                  <c:v>51</c:v>
                </c:pt>
                <c:pt idx="22">
                  <c:v>52</c:v>
                </c:pt>
                <c:pt idx="23">
                  <c:v>53</c:v>
                </c:pt>
                <c:pt idx="24">
                  <c:v>54</c:v>
                </c:pt>
                <c:pt idx="25">
                  <c:v>55</c:v>
                </c:pt>
                <c:pt idx="26">
                  <c:v>56</c:v>
                </c:pt>
                <c:pt idx="27">
                  <c:v>57</c:v>
                </c:pt>
                <c:pt idx="28">
                  <c:v>58</c:v>
                </c:pt>
                <c:pt idx="29">
                  <c:v>59</c:v>
                </c:pt>
                <c:pt idx="30">
                  <c:v>60</c:v>
                </c:pt>
                <c:pt idx="31">
                  <c:v>61</c:v>
                </c:pt>
                <c:pt idx="32">
                  <c:v>62</c:v>
                </c:pt>
                <c:pt idx="33">
                  <c:v>63</c:v>
                </c:pt>
                <c:pt idx="34">
                  <c:v>64</c:v>
                </c:pt>
              </c:numCache>
            </c:numRef>
          </c:xVal>
          <c:yVal>
            <c:numRef>
              <c:f>'kasutegur, efektiivsus'!$G$4:$G$38</c:f>
              <c:numCache>
                <c:formatCode>0%</c:formatCode>
                <c:ptCount val="35"/>
                <c:pt idx="0">
                  <c:v>0.74170562821031072</c:v>
                </c:pt>
                <c:pt idx="1">
                  <c:v>0.75124782176243421</c:v>
                </c:pt>
                <c:pt idx="2">
                  <c:v>0.76008091090431618</c:v>
                </c:pt>
                <c:pt idx="3">
                  <c:v>0.76998566733839802</c:v>
                </c:pt>
                <c:pt idx="4">
                  <c:v>0.77942958725536526</c:v>
                </c:pt>
                <c:pt idx="5">
                  <c:v>0.78896205202907999</c:v>
                </c:pt>
                <c:pt idx="6">
                  <c:v>0.79957060487561227</c:v>
                </c:pt>
                <c:pt idx="7">
                  <c:v>0.81041339576543903</c:v>
                </c:pt>
                <c:pt idx="8">
                  <c:v>0.82187988124959022</c:v>
                </c:pt>
                <c:pt idx="9">
                  <c:v>0.83346235566950566</c:v>
                </c:pt>
                <c:pt idx="10">
                  <c:v>0.83953456128406945</c:v>
                </c:pt>
                <c:pt idx="11">
                  <c:v>0.85238767369792334</c:v>
                </c:pt>
                <c:pt idx="12">
                  <c:v>0.86913363618565631</c:v>
                </c:pt>
                <c:pt idx="13">
                  <c:v>0.88454065321572839</c:v>
                </c:pt>
                <c:pt idx="14">
                  <c:v>0.8989701186439325</c:v>
                </c:pt>
                <c:pt idx="15">
                  <c:v>0.91498310060048271</c:v>
                </c:pt>
                <c:pt idx="16">
                  <c:v>0.93196077548392786</c:v>
                </c:pt>
                <c:pt idx="17">
                  <c:v>0.95200595914670627</c:v>
                </c:pt>
                <c:pt idx="18">
                  <c:v>0.97289503625368046</c:v>
                </c:pt>
                <c:pt idx="19">
                  <c:v>0.9951619175537737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C7BC-40C1-A365-9C5A83A052EB}"/>
            </c:ext>
          </c:extLst>
        </c:ser>
        <c:ser>
          <c:idx val="1"/>
          <c:order val="3"/>
          <c:tx>
            <c:v>mH2O = 35%</c:v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'kasutegur, efektiivsus'!$B$4:$B$38</c:f>
              <c:numCache>
                <c:formatCode>General</c:formatCode>
                <c:ptCount val="35"/>
                <c:pt idx="0">
                  <c:v>30</c:v>
                </c:pt>
                <c:pt idx="1">
                  <c:v>31</c:v>
                </c:pt>
                <c:pt idx="2">
                  <c:v>32</c:v>
                </c:pt>
                <c:pt idx="3">
                  <c:v>33</c:v>
                </c:pt>
                <c:pt idx="4">
                  <c:v>34</c:v>
                </c:pt>
                <c:pt idx="5">
                  <c:v>35</c:v>
                </c:pt>
                <c:pt idx="6">
                  <c:v>36</c:v>
                </c:pt>
                <c:pt idx="7">
                  <c:v>37</c:v>
                </c:pt>
                <c:pt idx="8">
                  <c:v>38</c:v>
                </c:pt>
                <c:pt idx="9">
                  <c:v>39</c:v>
                </c:pt>
                <c:pt idx="10">
                  <c:v>40</c:v>
                </c:pt>
                <c:pt idx="11">
                  <c:v>41</c:v>
                </c:pt>
                <c:pt idx="12">
                  <c:v>42</c:v>
                </c:pt>
                <c:pt idx="13">
                  <c:v>43</c:v>
                </c:pt>
                <c:pt idx="14">
                  <c:v>44</c:v>
                </c:pt>
                <c:pt idx="15">
                  <c:v>45</c:v>
                </c:pt>
                <c:pt idx="16">
                  <c:v>46</c:v>
                </c:pt>
                <c:pt idx="17">
                  <c:v>47</c:v>
                </c:pt>
                <c:pt idx="18">
                  <c:v>48</c:v>
                </c:pt>
                <c:pt idx="19">
                  <c:v>49</c:v>
                </c:pt>
                <c:pt idx="20">
                  <c:v>50</c:v>
                </c:pt>
                <c:pt idx="21">
                  <c:v>51</c:v>
                </c:pt>
                <c:pt idx="22">
                  <c:v>52</c:v>
                </c:pt>
                <c:pt idx="23">
                  <c:v>53</c:v>
                </c:pt>
                <c:pt idx="24">
                  <c:v>54</c:v>
                </c:pt>
                <c:pt idx="25">
                  <c:v>55</c:v>
                </c:pt>
                <c:pt idx="26">
                  <c:v>56</c:v>
                </c:pt>
                <c:pt idx="27">
                  <c:v>57</c:v>
                </c:pt>
                <c:pt idx="28">
                  <c:v>58</c:v>
                </c:pt>
                <c:pt idx="29">
                  <c:v>59</c:v>
                </c:pt>
                <c:pt idx="30">
                  <c:v>60</c:v>
                </c:pt>
                <c:pt idx="31">
                  <c:v>61</c:v>
                </c:pt>
                <c:pt idx="32">
                  <c:v>62</c:v>
                </c:pt>
                <c:pt idx="33">
                  <c:v>63</c:v>
                </c:pt>
                <c:pt idx="34">
                  <c:v>64</c:v>
                </c:pt>
              </c:numCache>
            </c:numRef>
          </c:xVal>
          <c:yVal>
            <c:numRef>
              <c:f>'kasutegur, efektiivsus'!$E$4:$E$38</c:f>
              <c:numCache>
                <c:formatCode>0%</c:formatCode>
                <c:ptCount val="35"/>
                <c:pt idx="0">
                  <c:v>0.72164810782563771</c:v>
                </c:pt>
                <c:pt idx="1">
                  <c:v>0.73110043712252559</c:v>
                </c:pt>
                <c:pt idx="2">
                  <c:v>0.74044896634796908</c:v>
                </c:pt>
                <c:pt idx="3">
                  <c:v>0.75030006790250847</c:v>
                </c:pt>
                <c:pt idx="4">
                  <c:v>0.7603224891670407</c:v>
                </c:pt>
                <c:pt idx="5">
                  <c:v>0.77042995560890759</c:v>
                </c:pt>
                <c:pt idx="6">
                  <c:v>0.781700803023195</c:v>
                </c:pt>
                <c:pt idx="7">
                  <c:v>0.79259653815765274</c:v>
                </c:pt>
                <c:pt idx="8">
                  <c:v>0.8048194075668097</c:v>
                </c:pt>
                <c:pt idx="9">
                  <c:v>0.81721946934398715</c:v>
                </c:pt>
                <c:pt idx="10">
                  <c:v>0.82425980450863834</c:v>
                </c:pt>
                <c:pt idx="11">
                  <c:v>0.83807869881978547</c:v>
                </c:pt>
                <c:pt idx="12">
                  <c:v>0.85598826854189813</c:v>
                </c:pt>
                <c:pt idx="13">
                  <c:v>0.87177570887362787</c:v>
                </c:pt>
                <c:pt idx="14">
                  <c:v>0.88833807967222089</c:v>
                </c:pt>
                <c:pt idx="15">
                  <c:v>0.90570964744735516</c:v>
                </c:pt>
                <c:pt idx="16">
                  <c:v>0.92431072450180707</c:v>
                </c:pt>
                <c:pt idx="17">
                  <c:v>0.94624374451908499</c:v>
                </c:pt>
                <c:pt idx="18">
                  <c:v>0.97031934546343124</c:v>
                </c:pt>
                <c:pt idx="19">
                  <c:v>0.99621893809870332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7BC-40C1-A365-9C5A83A052EB}"/>
            </c:ext>
          </c:extLst>
        </c:ser>
        <c:ser>
          <c:idx val="0"/>
          <c:order val="4"/>
          <c:tx>
            <c:v>mH2O = 30%</c:v>
          </c:tx>
          <c:spPr>
            <a:ln w="2540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'kasutegur, efektiivsus'!$B$4:$B$38</c:f>
              <c:numCache>
                <c:formatCode>General</c:formatCode>
                <c:ptCount val="35"/>
                <c:pt idx="0">
                  <c:v>30</c:v>
                </c:pt>
                <c:pt idx="1">
                  <c:v>31</c:v>
                </c:pt>
                <c:pt idx="2">
                  <c:v>32</c:v>
                </c:pt>
                <c:pt idx="3">
                  <c:v>33</c:v>
                </c:pt>
                <c:pt idx="4">
                  <c:v>34</c:v>
                </c:pt>
                <c:pt idx="5">
                  <c:v>35</c:v>
                </c:pt>
                <c:pt idx="6">
                  <c:v>36</c:v>
                </c:pt>
                <c:pt idx="7">
                  <c:v>37</c:v>
                </c:pt>
                <c:pt idx="8">
                  <c:v>38</c:v>
                </c:pt>
                <c:pt idx="9">
                  <c:v>39</c:v>
                </c:pt>
                <c:pt idx="10">
                  <c:v>40</c:v>
                </c:pt>
                <c:pt idx="11">
                  <c:v>41</c:v>
                </c:pt>
                <c:pt idx="12">
                  <c:v>42</c:v>
                </c:pt>
                <c:pt idx="13">
                  <c:v>43</c:v>
                </c:pt>
                <c:pt idx="14">
                  <c:v>44</c:v>
                </c:pt>
                <c:pt idx="15">
                  <c:v>45</c:v>
                </c:pt>
                <c:pt idx="16">
                  <c:v>46</c:v>
                </c:pt>
                <c:pt idx="17">
                  <c:v>47</c:v>
                </c:pt>
                <c:pt idx="18">
                  <c:v>48</c:v>
                </c:pt>
                <c:pt idx="19">
                  <c:v>49</c:v>
                </c:pt>
                <c:pt idx="20">
                  <c:v>50</c:v>
                </c:pt>
                <c:pt idx="21">
                  <c:v>51</c:v>
                </c:pt>
                <c:pt idx="22">
                  <c:v>52</c:v>
                </c:pt>
                <c:pt idx="23">
                  <c:v>53</c:v>
                </c:pt>
                <c:pt idx="24">
                  <c:v>54</c:v>
                </c:pt>
                <c:pt idx="25">
                  <c:v>55</c:v>
                </c:pt>
                <c:pt idx="26">
                  <c:v>56</c:v>
                </c:pt>
                <c:pt idx="27">
                  <c:v>57</c:v>
                </c:pt>
                <c:pt idx="28">
                  <c:v>58</c:v>
                </c:pt>
                <c:pt idx="29">
                  <c:v>59</c:v>
                </c:pt>
                <c:pt idx="30">
                  <c:v>60</c:v>
                </c:pt>
                <c:pt idx="31">
                  <c:v>61</c:v>
                </c:pt>
                <c:pt idx="32">
                  <c:v>62</c:v>
                </c:pt>
                <c:pt idx="33">
                  <c:v>63</c:v>
                </c:pt>
                <c:pt idx="34">
                  <c:v>64</c:v>
                </c:pt>
              </c:numCache>
            </c:numRef>
          </c:xVal>
          <c:yVal>
            <c:numRef>
              <c:f>'kasutegur, efektiivsus'!$C$4:$C$38</c:f>
              <c:numCache>
                <c:formatCode>0%</c:formatCode>
                <c:ptCount val="35"/>
                <c:pt idx="0">
                  <c:v>0.7016502559259602</c:v>
                </c:pt>
                <c:pt idx="1">
                  <c:v>0.71156894371724766</c:v>
                </c:pt>
                <c:pt idx="2">
                  <c:v>0.72084976403664835</c:v>
                </c:pt>
                <c:pt idx="3">
                  <c:v>0.73123256500036327</c:v>
                </c:pt>
                <c:pt idx="4">
                  <c:v>0.74122058014537984</c:v>
                </c:pt>
                <c:pt idx="5">
                  <c:v>0.75189615636867801</c:v>
                </c:pt>
                <c:pt idx="6">
                  <c:v>0.76381894712619325</c:v>
                </c:pt>
                <c:pt idx="7">
                  <c:v>0.77542887106398228</c:v>
                </c:pt>
                <c:pt idx="8">
                  <c:v>0.78772849811271506</c:v>
                </c:pt>
                <c:pt idx="9">
                  <c:v>0.80167427721912743</c:v>
                </c:pt>
                <c:pt idx="10">
                  <c:v>0.8097019819987048</c:v>
                </c:pt>
                <c:pt idx="11">
                  <c:v>0.82375636688533915</c:v>
                </c:pt>
                <c:pt idx="12">
                  <c:v>0.84365607262976638</c:v>
                </c:pt>
                <c:pt idx="13">
                  <c:v>0.86070698661321721</c:v>
                </c:pt>
                <c:pt idx="14">
                  <c:v>0.87869175367393648</c:v>
                </c:pt>
                <c:pt idx="15">
                  <c:v>0.89753274646325132</c:v>
                </c:pt>
                <c:pt idx="16">
                  <c:v>0.91890236597951969</c:v>
                </c:pt>
                <c:pt idx="17">
                  <c:v>0.94298078162216958</c:v>
                </c:pt>
                <c:pt idx="18">
                  <c:v>0.9695399705973432</c:v>
                </c:pt>
                <c:pt idx="19">
                  <c:v>0.9983301505114347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7BC-40C1-A365-9C5A83A052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0765151"/>
        <c:axId val="1960779295"/>
      </c:scatterChart>
      <c:valAx>
        <c:axId val="1960765151"/>
        <c:scaling>
          <c:orientation val="minMax"/>
          <c:max val="55"/>
          <c:min val="3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K</a:t>
                </a:r>
                <a:r>
                  <a:rPr lang="et-EE"/>
                  <a:t>augkütte tagasivoolu temperatuur</a:t>
                </a:r>
                <a:r>
                  <a:rPr lang="et-EE" baseline="0"/>
                  <a:t> </a:t>
                </a:r>
                <a:r>
                  <a:rPr lang="et-EE" i="1" baseline="0"/>
                  <a:t>t'' </a:t>
                </a:r>
                <a:r>
                  <a:rPr lang="et-EE" i="0" baseline="0"/>
                  <a:t>(</a:t>
                </a:r>
                <a:r>
                  <a:rPr lang="et-EE" i="0" baseline="0">
                    <a:latin typeface="Calibri Light" panose="020F0302020204030204" pitchFamily="34" charset="0"/>
                    <a:cs typeface="Calibri Light" panose="020F0302020204030204" pitchFamily="34" charset="0"/>
                  </a:rPr>
                  <a:t>°C)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35312515283415657"/>
              <c:y val="0.9150949374571422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t-E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t-EE"/>
          </a:p>
        </c:txPr>
        <c:crossAx val="1960779295"/>
        <c:crosses val="autoZero"/>
        <c:crossBetween val="midCat"/>
      </c:valAx>
      <c:valAx>
        <c:axId val="1960779295"/>
        <c:scaling>
          <c:orientation val="minMax"/>
          <c:min val="0.6500000000000001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t-EE"/>
                  <a:t>Suitsugaaside kondensaatori kasutegur </a:t>
                </a:r>
                <a:r>
                  <a:rPr lang="el-GR" i="1">
                    <a:latin typeface="Calibri Light" panose="020F0302020204030204" pitchFamily="34" charset="0"/>
                    <a:cs typeface="Calibri Light" panose="020F0302020204030204" pitchFamily="34" charset="0"/>
                  </a:rPr>
                  <a:t>η</a:t>
                </a:r>
                <a:endParaRPr lang="et-EE" i="1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t-EE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t-EE"/>
          </a:p>
        </c:txPr>
        <c:crossAx val="196076515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t-E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t-E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soojusvahetus!$K$11</c:f>
              <c:strCache>
                <c:ptCount val="1"/>
                <c:pt idx="0">
                  <c:v>εmalekorras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soojusvahetus!$J$12:$J$30</c:f>
              <c:numCache>
                <c:formatCode>General</c:formatCode>
                <c:ptCount val="19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  <c:pt idx="9">
                  <c:v>12</c:v>
                </c:pt>
                <c:pt idx="10">
                  <c:v>14</c:v>
                </c:pt>
                <c:pt idx="11">
                  <c:v>16</c:v>
                </c:pt>
                <c:pt idx="12">
                  <c:v>18</c:v>
                </c:pt>
                <c:pt idx="13">
                  <c:v>20</c:v>
                </c:pt>
                <c:pt idx="14">
                  <c:v>22</c:v>
                </c:pt>
                <c:pt idx="15">
                  <c:v>24</c:v>
                </c:pt>
                <c:pt idx="16">
                  <c:v>26</c:v>
                </c:pt>
                <c:pt idx="17">
                  <c:v>28</c:v>
                </c:pt>
                <c:pt idx="18">
                  <c:v>30</c:v>
                </c:pt>
              </c:numCache>
            </c:numRef>
          </c:xVal>
          <c:yVal>
            <c:numRef>
              <c:f>soojusvahetus!$K$12:$K$30</c:f>
              <c:numCache>
                <c:formatCode>General</c:formatCode>
                <c:ptCount val="19"/>
                <c:pt idx="0">
                  <c:v>0.77</c:v>
                </c:pt>
                <c:pt idx="1">
                  <c:v>0.83</c:v>
                </c:pt>
                <c:pt idx="2">
                  <c:v>0.87</c:v>
                </c:pt>
                <c:pt idx="3">
                  <c:v>0.9</c:v>
                </c:pt>
                <c:pt idx="4">
                  <c:v>0.92</c:v>
                </c:pt>
                <c:pt idx="5">
                  <c:v>0.93</c:v>
                </c:pt>
                <c:pt idx="6">
                  <c:v>0.94499999999999995</c:v>
                </c:pt>
                <c:pt idx="7">
                  <c:v>0.96</c:v>
                </c:pt>
                <c:pt idx="8">
                  <c:v>0.97</c:v>
                </c:pt>
                <c:pt idx="9">
                  <c:v>0.98</c:v>
                </c:pt>
                <c:pt idx="10">
                  <c:v>0.98499999999999999</c:v>
                </c:pt>
                <c:pt idx="11">
                  <c:v>0.99</c:v>
                </c:pt>
                <c:pt idx="12">
                  <c:v>1</c:v>
                </c:pt>
                <c:pt idx="13">
                  <c:v>1.02</c:v>
                </c:pt>
                <c:pt idx="14">
                  <c:v>1.05</c:v>
                </c:pt>
                <c:pt idx="15">
                  <c:v>1.1000000000000001</c:v>
                </c:pt>
                <c:pt idx="16">
                  <c:v>1.1499999999999999</c:v>
                </c:pt>
                <c:pt idx="17">
                  <c:v>1.18</c:v>
                </c:pt>
                <c:pt idx="18">
                  <c:v>1.18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AE3-4683-94A6-BD55DADD78EB}"/>
            </c:ext>
          </c:extLst>
        </c:ser>
        <c:ser>
          <c:idx val="1"/>
          <c:order val="1"/>
          <c:tx>
            <c:strRef>
              <c:f>soojusvahetus!$L$11</c:f>
              <c:strCache>
                <c:ptCount val="1"/>
                <c:pt idx="0">
                  <c:v>εkoridoorne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soojusvahetus!$J$12:$J$30</c:f>
              <c:numCache>
                <c:formatCode>General</c:formatCode>
                <c:ptCount val="19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  <c:pt idx="9">
                  <c:v>12</c:v>
                </c:pt>
                <c:pt idx="10">
                  <c:v>14</c:v>
                </c:pt>
                <c:pt idx="11">
                  <c:v>16</c:v>
                </c:pt>
                <c:pt idx="12">
                  <c:v>18</c:v>
                </c:pt>
                <c:pt idx="13">
                  <c:v>20</c:v>
                </c:pt>
                <c:pt idx="14">
                  <c:v>22</c:v>
                </c:pt>
                <c:pt idx="15">
                  <c:v>24</c:v>
                </c:pt>
                <c:pt idx="16">
                  <c:v>26</c:v>
                </c:pt>
                <c:pt idx="17">
                  <c:v>28</c:v>
                </c:pt>
                <c:pt idx="18">
                  <c:v>30</c:v>
                </c:pt>
              </c:numCache>
            </c:numRef>
          </c:xVal>
          <c:yVal>
            <c:numRef>
              <c:f>soojusvahetus!$L$12:$L$30</c:f>
              <c:numCache>
                <c:formatCode>General</c:formatCode>
                <c:ptCount val="19"/>
                <c:pt idx="0">
                  <c:v>0.88</c:v>
                </c:pt>
                <c:pt idx="1">
                  <c:v>0.92</c:v>
                </c:pt>
                <c:pt idx="2">
                  <c:v>0.94</c:v>
                </c:pt>
                <c:pt idx="3">
                  <c:v>0.95499999999999996</c:v>
                </c:pt>
                <c:pt idx="4">
                  <c:v>0.96499999999999997</c:v>
                </c:pt>
                <c:pt idx="5">
                  <c:v>0.97</c:v>
                </c:pt>
                <c:pt idx="6">
                  <c:v>0.98</c:v>
                </c:pt>
                <c:pt idx="7">
                  <c:v>0.98499999999999999</c:v>
                </c:pt>
                <c:pt idx="8">
                  <c:v>0.99</c:v>
                </c:pt>
                <c:pt idx="9">
                  <c:v>0.995</c:v>
                </c:pt>
                <c:pt idx="10">
                  <c:v>0.998</c:v>
                </c:pt>
                <c:pt idx="11">
                  <c:v>1</c:v>
                </c:pt>
                <c:pt idx="12">
                  <c:v>1</c:v>
                </c:pt>
                <c:pt idx="13">
                  <c:v>1.02</c:v>
                </c:pt>
                <c:pt idx="14">
                  <c:v>1.03</c:v>
                </c:pt>
                <c:pt idx="15">
                  <c:v>1.05</c:v>
                </c:pt>
                <c:pt idx="16">
                  <c:v>1.05</c:v>
                </c:pt>
                <c:pt idx="17">
                  <c:v>1.05</c:v>
                </c:pt>
                <c:pt idx="18">
                  <c:v>1.05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AE3-4683-94A6-BD55DADD78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48119343"/>
        <c:axId val="1748116431"/>
      </c:scatterChart>
      <c:valAx>
        <c:axId val="1748119343"/>
        <c:scaling>
          <c:orientation val="minMax"/>
          <c:max val="30"/>
          <c:min val="2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</a:t>
                </a:r>
                <a:r>
                  <a:rPr lang="et-EE"/>
                  <a:t>oruridade arv </a:t>
                </a:r>
                <a:r>
                  <a:rPr lang="et-EE" i="1"/>
                  <a:t>n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t-E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t-EE"/>
          </a:p>
        </c:txPr>
        <c:crossAx val="1748116431"/>
        <c:crosses val="autoZero"/>
        <c:crossBetween val="midCat"/>
      </c:valAx>
      <c:valAx>
        <c:axId val="1748116431"/>
        <c:scaling>
          <c:orientation val="minMax"/>
          <c:min val="0.60000000000000009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t-EE"/>
                  <a:t>Parandustegur</a:t>
                </a:r>
                <a:r>
                  <a:rPr lang="et-EE" baseline="0"/>
                  <a:t> </a:t>
                </a:r>
                <a:r>
                  <a:rPr lang="el-GR" i="1" baseline="0">
                    <a:latin typeface="Calibri Light" panose="020F0302020204030204" pitchFamily="34" charset="0"/>
                    <a:cs typeface="Calibri Light" panose="020F0302020204030204" pitchFamily="34" charset="0"/>
                  </a:rPr>
                  <a:t>ε</a:t>
                </a:r>
                <a:endParaRPr lang="et-EE" i="1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t-E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t-EE"/>
          </a:p>
        </c:txPr>
        <c:crossAx val="1748119343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t-E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t-EE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t-EE">
                <a:latin typeface="+mj-lt"/>
              </a:rPr>
              <a:t>t</a:t>
            </a:r>
            <a:r>
              <a:rPr lang="et-EE" baseline="0">
                <a:latin typeface="+mj-lt"/>
              </a:rPr>
              <a:t> vahemik 98 ...99 </a:t>
            </a:r>
            <a:r>
              <a:rPr lang="et-EE" baseline="0">
                <a:latin typeface="+mj-lt"/>
                <a:cs typeface="Calibri Light" panose="020F0302020204030204" pitchFamily="34" charset="0"/>
              </a:rPr>
              <a:t>°C, x 8,467...17,525</a:t>
            </a:r>
            <a:endParaRPr lang="et-EE">
              <a:latin typeface="+mj-lt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t-E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poly"/>
            <c:order val="4"/>
            <c:dispRSqr val="0"/>
            <c:dispEq val="1"/>
            <c:trendlineLbl>
              <c:layout/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t-EE"/>
                </a:p>
              </c:txPr>
            </c:trendlineLbl>
          </c:trendline>
          <c:xVal>
            <c:numRef>
              <c:f>psühromeetria!$C$4:$C$14</c:f>
              <c:numCache>
                <c:formatCode>General</c:formatCode>
                <c:ptCount val="11"/>
                <c:pt idx="0">
                  <c:v>17.524999999999999</c:v>
                </c:pt>
                <c:pt idx="1">
                  <c:v>15.86</c:v>
                </c:pt>
                <c:pt idx="2">
                  <c:v>14.478</c:v>
                </c:pt>
                <c:pt idx="3">
                  <c:v>13.313000000000001</c:v>
                </c:pt>
                <c:pt idx="4">
                  <c:v>12.319000000000001</c:v>
                </c:pt>
                <c:pt idx="5">
                  <c:v>11.459</c:v>
                </c:pt>
                <c:pt idx="6">
                  <c:v>10.708</c:v>
                </c:pt>
                <c:pt idx="7">
                  <c:v>10.047000000000001</c:v>
                </c:pt>
                <c:pt idx="8">
                  <c:v>9.4600000000000009</c:v>
                </c:pt>
                <c:pt idx="9">
                  <c:v>8.9359999999999999</c:v>
                </c:pt>
                <c:pt idx="10">
                  <c:v>8.4670000000000005</c:v>
                </c:pt>
              </c:numCache>
            </c:numRef>
          </c:xVal>
          <c:yVal>
            <c:numRef>
              <c:f>psühromeetria!$D$4:$D$14</c:f>
              <c:numCache>
                <c:formatCode>General</c:formatCode>
                <c:ptCount val="11"/>
                <c:pt idx="0">
                  <c:v>99</c:v>
                </c:pt>
                <c:pt idx="1">
                  <c:v>98.9</c:v>
                </c:pt>
                <c:pt idx="2">
                  <c:v>98.800000000000011</c:v>
                </c:pt>
                <c:pt idx="3">
                  <c:v>98.700000000000017</c:v>
                </c:pt>
                <c:pt idx="4">
                  <c:v>98.600000000000023</c:v>
                </c:pt>
                <c:pt idx="5">
                  <c:v>98.500000000000028</c:v>
                </c:pt>
                <c:pt idx="6">
                  <c:v>98.400000000000034</c:v>
                </c:pt>
                <c:pt idx="7">
                  <c:v>98.30000000000004</c:v>
                </c:pt>
                <c:pt idx="8">
                  <c:v>98.200000000000045</c:v>
                </c:pt>
                <c:pt idx="9">
                  <c:v>98.1</c:v>
                </c:pt>
                <c:pt idx="10">
                  <c:v>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67C-4FEA-A41E-964912D002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11835839"/>
        <c:axId val="1011847071"/>
      </c:scatterChart>
      <c:valAx>
        <c:axId val="101183583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t-EE"/>
          </a:p>
        </c:txPr>
        <c:crossAx val="1011847071"/>
        <c:crosses val="autoZero"/>
        <c:crossBetween val="midCat"/>
      </c:valAx>
      <c:valAx>
        <c:axId val="101184707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t-EE"/>
          </a:p>
        </c:txPr>
        <c:crossAx val="101183583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t-EE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t-EE">
                <a:latin typeface="+mj-lt"/>
              </a:rPr>
              <a:t>t</a:t>
            </a:r>
            <a:r>
              <a:rPr lang="et-EE" baseline="0">
                <a:latin typeface="+mj-lt"/>
              </a:rPr>
              <a:t> vahemik 94...98 </a:t>
            </a:r>
            <a:r>
              <a:rPr lang="et-EE" baseline="0">
                <a:latin typeface="+mj-lt"/>
                <a:cs typeface="Calibri Light" panose="020F0302020204030204" pitchFamily="34" charset="0"/>
              </a:rPr>
              <a:t>°C, x 2,563...8,466</a:t>
            </a:r>
            <a:endParaRPr lang="et-EE">
              <a:latin typeface="+mj-lt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t-E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poly"/>
            <c:order val="4"/>
            <c:dispRSqr val="0"/>
            <c:dispEq val="1"/>
            <c:trendlineLbl>
              <c:layout>
                <c:manualLayout>
                  <c:x val="-0.1700249343832021"/>
                  <c:y val="-7.7252843394575678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t-EE"/>
                </a:p>
              </c:txPr>
            </c:trendlineLbl>
          </c:trendline>
          <c:xVal>
            <c:numRef>
              <c:f>psühromeetria!$C$14:$C$18</c:f>
              <c:numCache>
                <c:formatCode>General</c:formatCode>
                <c:ptCount val="5"/>
                <c:pt idx="0">
                  <c:v>8.4670000000000005</c:v>
                </c:pt>
                <c:pt idx="1">
                  <c:v>5.5</c:v>
                </c:pt>
                <c:pt idx="2">
                  <c:v>4.0270000000000001</c:v>
                </c:pt>
                <c:pt idx="3">
                  <c:v>3.1480000000000001</c:v>
                </c:pt>
                <c:pt idx="4">
                  <c:v>2.5630000000000002</c:v>
                </c:pt>
              </c:numCache>
            </c:numRef>
          </c:xVal>
          <c:yVal>
            <c:numRef>
              <c:f>psühromeetria!$D$14:$D$18</c:f>
              <c:numCache>
                <c:formatCode>General</c:formatCode>
                <c:ptCount val="5"/>
                <c:pt idx="0">
                  <c:v>98</c:v>
                </c:pt>
                <c:pt idx="1">
                  <c:v>97</c:v>
                </c:pt>
                <c:pt idx="2">
                  <c:v>96</c:v>
                </c:pt>
                <c:pt idx="3">
                  <c:v>95</c:v>
                </c:pt>
                <c:pt idx="4">
                  <c:v>94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9FE-4705-965F-E3C2F81D7A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01853919"/>
        <c:axId val="1001843103"/>
      </c:scatterChart>
      <c:valAx>
        <c:axId val="100185391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t-EE"/>
          </a:p>
        </c:txPr>
        <c:crossAx val="1001843103"/>
        <c:crosses val="autoZero"/>
        <c:crossBetween val="midCat"/>
      </c:valAx>
      <c:valAx>
        <c:axId val="10018431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t-EE"/>
          </a:p>
        </c:txPr>
        <c:crossAx val="100185391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t-EE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t-EE">
                <a:latin typeface="+mj-lt"/>
              </a:rPr>
              <a:t>t vahemik 90...94 </a:t>
            </a:r>
            <a:r>
              <a:rPr lang="et-EE">
                <a:latin typeface="+mj-lt"/>
                <a:cs typeface="Calibri Light" panose="020F0302020204030204" pitchFamily="34" charset="0"/>
              </a:rPr>
              <a:t>°C</a:t>
            </a:r>
            <a:r>
              <a:rPr lang="et-EE">
                <a:latin typeface="+mj-lt"/>
              </a:rPr>
              <a:t>,</a:t>
            </a:r>
            <a:r>
              <a:rPr lang="et-EE" baseline="0">
                <a:latin typeface="+mj-lt"/>
              </a:rPr>
              <a:t> x 1,401...2,563</a:t>
            </a:r>
            <a:endParaRPr lang="et-EE">
              <a:latin typeface="+mj-lt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t-E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poly"/>
            <c:order val="3"/>
            <c:dispRSqr val="0"/>
            <c:dispEq val="1"/>
            <c:trendlineLbl>
              <c:layout/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t-EE"/>
                </a:p>
              </c:txPr>
            </c:trendlineLbl>
          </c:trendline>
          <c:xVal>
            <c:numRef>
              <c:f>psühromeetria!$C$18:$C$22</c:f>
              <c:numCache>
                <c:formatCode>General</c:formatCode>
                <c:ptCount val="5"/>
                <c:pt idx="0">
                  <c:v>2.5630000000000002</c:v>
                </c:pt>
                <c:pt idx="1">
                  <c:v>2.1469999999999998</c:v>
                </c:pt>
                <c:pt idx="2">
                  <c:v>1.8360000000000001</c:v>
                </c:pt>
                <c:pt idx="3">
                  <c:v>1.5940000000000001</c:v>
                </c:pt>
                <c:pt idx="4">
                  <c:v>1.401</c:v>
                </c:pt>
              </c:numCache>
            </c:numRef>
          </c:xVal>
          <c:yVal>
            <c:numRef>
              <c:f>psühromeetria!$D$18:$D$22</c:f>
              <c:numCache>
                <c:formatCode>General</c:formatCode>
                <c:ptCount val="5"/>
                <c:pt idx="0">
                  <c:v>94</c:v>
                </c:pt>
                <c:pt idx="1">
                  <c:v>93</c:v>
                </c:pt>
                <c:pt idx="2">
                  <c:v>92</c:v>
                </c:pt>
                <c:pt idx="3">
                  <c:v>91</c:v>
                </c:pt>
                <c:pt idx="4">
                  <c:v>90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CF8-440C-905B-CCD4D2A044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11836671"/>
        <c:axId val="1011841247"/>
      </c:scatterChart>
      <c:valAx>
        <c:axId val="101183667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t-EE"/>
          </a:p>
        </c:txPr>
        <c:crossAx val="1011841247"/>
        <c:crosses val="autoZero"/>
        <c:crossBetween val="midCat"/>
      </c:valAx>
      <c:valAx>
        <c:axId val="10118412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t-EE"/>
          </a:p>
        </c:txPr>
        <c:crossAx val="101183667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t-EE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t-EE">
                <a:latin typeface="+mj-lt"/>
              </a:rPr>
              <a:t>t</a:t>
            </a:r>
            <a:r>
              <a:rPr lang="et-EE" baseline="0">
                <a:latin typeface="+mj-lt"/>
              </a:rPr>
              <a:t> vahemik 80...90 </a:t>
            </a:r>
            <a:r>
              <a:rPr lang="et-EE" baseline="0">
                <a:latin typeface="+mj-lt"/>
                <a:cs typeface="Calibri Light" panose="020F0302020204030204" pitchFamily="34" charset="0"/>
              </a:rPr>
              <a:t>°C, x 0,547...1,401</a:t>
            </a:r>
            <a:endParaRPr lang="et-EE">
              <a:latin typeface="+mj-lt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t-E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poly"/>
            <c:order val="2"/>
            <c:dispRSqr val="0"/>
            <c:dispEq val="1"/>
            <c:trendlineLbl>
              <c:layout>
                <c:manualLayout>
                  <c:x val="-0.16150984251968503"/>
                  <c:y val="-4.3770778652668416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t-EE"/>
                </a:p>
              </c:txPr>
            </c:trendlineLbl>
          </c:trendline>
          <c:xVal>
            <c:numRef>
              <c:f>psühromeetria!$C$22:$C$32</c:f>
              <c:numCache>
                <c:formatCode>General</c:formatCode>
                <c:ptCount val="11"/>
                <c:pt idx="0">
                  <c:v>1.401</c:v>
                </c:pt>
                <c:pt idx="1">
                  <c:v>1.224</c:v>
                </c:pt>
                <c:pt idx="2">
                  <c:v>1.1140000000000001</c:v>
                </c:pt>
                <c:pt idx="3">
                  <c:v>1.004</c:v>
                </c:pt>
                <c:pt idx="4">
                  <c:v>0.90900000000000003</c:v>
                </c:pt>
                <c:pt idx="5">
                  <c:v>0.82799999999999996</c:v>
                </c:pt>
                <c:pt idx="6">
                  <c:v>0.75700000000000001</c:v>
                </c:pt>
                <c:pt idx="7">
                  <c:v>0.69499999999999995</c:v>
                </c:pt>
                <c:pt idx="8">
                  <c:v>0.64</c:v>
                </c:pt>
                <c:pt idx="9">
                  <c:v>0.59</c:v>
                </c:pt>
                <c:pt idx="10">
                  <c:v>0.54700000000000004</c:v>
                </c:pt>
              </c:numCache>
            </c:numRef>
          </c:xVal>
          <c:yVal>
            <c:numRef>
              <c:f>psühromeetria!$D$22:$D$32</c:f>
              <c:numCache>
                <c:formatCode>General</c:formatCode>
                <c:ptCount val="11"/>
                <c:pt idx="0">
                  <c:v>90</c:v>
                </c:pt>
                <c:pt idx="1">
                  <c:v>89</c:v>
                </c:pt>
                <c:pt idx="2">
                  <c:v>88</c:v>
                </c:pt>
                <c:pt idx="3">
                  <c:v>87</c:v>
                </c:pt>
                <c:pt idx="4">
                  <c:v>86</c:v>
                </c:pt>
                <c:pt idx="5">
                  <c:v>85</c:v>
                </c:pt>
                <c:pt idx="6">
                  <c:v>84</c:v>
                </c:pt>
                <c:pt idx="7">
                  <c:v>83</c:v>
                </c:pt>
                <c:pt idx="8">
                  <c:v>82</c:v>
                </c:pt>
                <c:pt idx="9">
                  <c:v>81</c:v>
                </c:pt>
                <c:pt idx="10">
                  <c:v>80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8D8-442A-AB6E-AFC1001FB4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01845599"/>
        <c:axId val="1001850175"/>
      </c:scatterChart>
      <c:valAx>
        <c:axId val="100184559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t-EE"/>
          </a:p>
        </c:txPr>
        <c:crossAx val="1001850175"/>
        <c:crosses val="autoZero"/>
        <c:crossBetween val="midCat"/>
      </c:valAx>
      <c:valAx>
        <c:axId val="10018501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t-EE"/>
          </a:p>
        </c:txPr>
        <c:crossAx val="100184559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t-E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3.xml"/><Relationship Id="rId3" Type="http://schemas.openxmlformats.org/officeDocument/2006/relationships/chart" Target="../charts/chart8.xml"/><Relationship Id="rId7" Type="http://schemas.openxmlformats.org/officeDocument/2006/relationships/chart" Target="../charts/chart12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Relationship Id="rId6" Type="http://schemas.openxmlformats.org/officeDocument/2006/relationships/chart" Target="../charts/chart11.xml"/><Relationship Id="rId5" Type="http://schemas.openxmlformats.org/officeDocument/2006/relationships/chart" Target="../charts/chart10.xml"/><Relationship Id="rId10" Type="http://schemas.openxmlformats.org/officeDocument/2006/relationships/chart" Target="../charts/chart15.xml"/><Relationship Id="rId4" Type="http://schemas.openxmlformats.org/officeDocument/2006/relationships/chart" Target="../charts/chart9.xml"/><Relationship Id="rId9" Type="http://schemas.openxmlformats.org/officeDocument/2006/relationships/chart" Target="../charts/chart1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7.xml"/><Relationship Id="rId1" Type="http://schemas.openxmlformats.org/officeDocument/2006/relationships/chart" Target="../charts/chart16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4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19050</xdr:colOff>
      <xdr:row>36</xdr:row>
      <xdr:rowOff>123825</xdr:rowOff>
    </xdr:from>
    <xdr:to>
      <xdr:col>12</xdr:col>
      <xdr:colOff>1790700</xdr:colOff>
      <xdr:row>51</xdr:row>
      <xdr:rowOff>47625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885831</xdr:colOff>
      <xdr:row>13</xdr:row>
      <xdr:rowOff>123825</xdr:rowOff>
    </xdr:from>
    <xdr:to>
      <xdr:col>9</xdr:col>
      <xdr:colOff>428625</xdr:colOff>
      <xdr:row>29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323849</xdr:colOff>
      <xdr:row>3</xdr:row>
      <xdr:rowOff>47625</xdr:rowOff>
    </xdr:from>
    <xdr:to>
      <xdr:col>20</xdr:col>
      <xdr:colOff>276224</xdr:colOff>
      <xdr:row>21</xdr:row>
      <xdr:rowOff>66675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285750</xdr:colOff>
      <xdr:row>23</xdr:row>
      <xdr:rowOff>123824</xdr:rowOff>
    </xdr:from>
    <xdr:to>
      <xdr:col>20</xdr:col>
      <xdr:colOff>552450</xdr:colOff>
      <xdr:row>40</xdr:row>
      <xdr:rowOff>57149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16934</xdr:colOff>
      <xdr:row>11</xdr:row>
      <xdr:rowOff>47625</xdr:rowOff>
    </xdr:from>
    <xdr:to>
      <xdr:col>19</xdr:col>
      <xdr:colOff>56753</xdr:colOff>
      <xdr:row>45</xdr:row>
      <xdr:rowOff>158750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838767" y="2344208"/>
          <a:ext cx="4220236" cy="7424208"/>
        </a:xfrm>
        <a:prstGeom prst="rect">
          <a:avLst/>
        </a:prstGeom>
      </xdr:spPr>
    </xdr:pic>
    <xdr:clientData/>
  </xdr:twoCellAnchor>
  <xdr:twoCellAnchor>
    <xdr:from>
      <xdr:col>18</xdr:col>
      <xdr:colOff>679979</xdr:colOff>
      <xdr:row>11</xdr:row>
      <xdr:rowOff>4233</xdr:rowOff>
    </xdr:from>
    <xdr:to>
      <xdr:col>24</xdr:col>
      <xdr:colOff>248708</xdr:colOff>
      <xdr:row>25</xdr:row>
      <xdr:rowOff>125413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419100</xdr:colOff>
      <xdr:row>1</xdr:row>
      <xdr:rowOff>76200</xdr:rowOff>
    </xdr:from>
    <xdr:to>
      <xdr:col>16</xdr:col>
      <xdr:colOff>19050</xdr:colOff>
      <xdr:row>15</xdr:row>
      <xdr:rowOff>114300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438150</xdr:colOff>
      <xdr:row>15</xdr:row>
      <xdr:rowOff>180975</xdr:rowOff>
    </xdr:from>
    <xdr:to>
      <xdr:col>16</xdr:col>
      <xdr:colOff>38100</xdr:colOff>
      <xdr:row>30</xdr:row>
      <xdr:rowOff>66675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352425</xdr:colOff>
      <xdr:row>30</xdr:row>
      <xdr:rowOff>180975</xdr:rowOff>
    </xdr:from>
    <xdr:to>
      <xdr:col>15</xdr:col>
      <xdr:colOff>781050</xdr:colOff>
      <xdr:row>45</xdr:row>
      <xdr:rowOff>66675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476250</xdr:colOff>
      <xdr:row>1</xdr:row>
      <xdr:rowOff>38100</xdr:rowOff>
    </xdr:from>
    <xdr:to>
      <xdr:col>22</xdr:col>
      <xdr:colOff>76200</xdr:colOff>
      <xdr:row>15</xdr:row>
      <xdr:rowOff>76200</xdr:rowOff>
    </xdr:to>
    <xdr:graphicFrame macro="">
      <xdr:nvGraphicFramePr>
        <xdr:cNvPr id="9" name="Chart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16</xdr:col>
      <xdr:colOff>466725</xdr:colOff>
      <xdr:row>16</xdr:row>
      <xdr:rowOff>57150</xdr:rowOff>
    </xdr:from>
    <xdr:to>
      <xdr:col>22</xdr:col>
      <xdr:colOff>66675</xdr:colOff>
      <xdr:row>30</xdr:row>
      <xdr:rowOff>133350</xdr:rowOff>
    </xdr:to>
    <xdr:graphicFrame macro="">
      <xdr:nvGraphicFramePr>
        <xdr:cNvPr id="10" name="Chart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16</xdr:col>
      <xdr:colOff>504825</xdr:colOff>
      <xdr:row>31</xdr:row>
      <xdr:rowOff>85725</xdr:rowOff>
    </xdr:from>
    <xdr:to>
      <xdr:col>22</xdr:col>
      <xdr:colOff>104775</xdr:colOff>
      <xdr:row>45</xdr:row>
      <xdr:rowOff>161925</xdr:rowOff>
    </xdr:to>
    <xdr:graphicFrame macro="">
      <xdr:nvGraphicFramePr>
        <xdr:cNvPr id="11" name="Chart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16</xdr:col>
      <xdr:colOff>400050</xdr:colOff>
      <xdr:row>48</xdr:row>
      <xdr:rowOff>47625</xdr:rowOff>
    </xdr:from>
    <xdr:to>
      <xdr:col>22</xdr:col>
      <xdr:colOff>0</xdr:colOff>
      <xdr:row>62</xdr:row>
      <xdr:rowOff>123825</xdr:rowOff>
    </xdr:to>
    <xdr:graphicFrame macro="">
      <xdr:nvGraphicFramePr>
        <xdr:cNvPr id="12" name="Chart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</xdr:col>
      <xdr:colOff>238125</xdr:colOff>
      <xdr:row>59</xdr:row>
      <xdr:rowOff>66674</xdr:rowOff>
    </xdr:from>
    <xdr:to>
      <xdr:col>10</xdr:col>
      <xdr:colOff>47625</xdr:colOff>
      <xdr:row>81</xdr:row>
      <xdr:rowOff>161925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5</xdr:col>
      <xdr:colOff>323851</xdr:colOff>
      <xdr:row>86</xdr:row>
      <xdr:rowOff>142874</xdr:rowOff>
    </xdr:from>
    <xdr:to>
      <xdr:col>9</xdr:col>
      <xdr:colOff>723901</xdr:colOff>
      <xdr:row>103</xdr:row>
      <xdr:rowOff>57149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12</xdr:col>
      <xdr:colOff>0</xdr:colOff>
      <xdr:row>82</xdr:row>
      <xdr:rowOff>0</xdr:rowOff>
    </xdr:from>
    <xdr:to>
      <xdr:col>18</xdr:col>
      <xdr:colOff>285750</xdr:colOff>
      <xdr:row>98</xdr:row>
      <xdr:rowOff>104775</xdr:rowOff>
    </xdr:to>
    <xdr:graphicFrame macro="">
      <xdr:nvGraphicFramePr>
        <xdr:cNvPr id="13" name="Chart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114300</xdr:rowOff>
    </xdr:from>
    <xdr:to>
      <xdr:col>40</xdr:col>
      <xdr:colOff>126043</xdr:colOff>
      <xdr:row>44</xdr:row>
      <xdr:rowOff>14664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114300"/>
          <a:ext cx="17566318" cy="828236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554180</xdr:colOff>
      <xdr:row>0</xdr:row>
      <xdr:rowOff>143740</xdr:rowOff>
    </xdr:from>
    <xdr:to>
      <xdr:col>9</xdr:col>
      <xdr:colOff>554183</xdr:colOff>
      <xdr:row>23</xdr:row>
      <xdr:rowOff>155864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581024</xdr:colOff>
      <xdr:row>0</xdr:row>
      <xdr:rowOff>0</xdr:rowOff>
    </xdr:from>
    <xdr:to>
      <xdr:col>16</xdr:col>
      <xdr:colOff>753342</xdr:colOff>
      <xdr:row>25</xdr:row>
      <xdr:rowOff>57150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8</xdr:col>
      <xdr:colOff>282478</xdr:colOff>
      <xdr:row>33</xdr:row>
      <xdr:rowOff>141271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8200" y="180975"/>
          <a:ext cx="6149878" cy="5932471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</xdr:row>
      <xdr:rowOff>0</xdr:rowOff>
    </xdr:from>
    <xdr:to>
      <xdr:col>17</xdr:col>
      <xdr:colOff>605656</xdr:colOff>
      <xdr:row>31</xdr:row>
      <xdr:rowOff>15775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543800" y="180975"/>
          <a:ext cx="7311256" cy="544502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35</xdr:row>
      <xdr:rowOff>0</xdr:rowOff>
    </xdr:from>
    <xdr:to>
      <xdr:col>8</xdr:col>
      <xdr:colOff>66316</xdr:colOff>
      <xdr:row>68</xdr:row>
      <xdr:rowOff>94495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38200" y="6334125"/>
          <a:ext cx="5933716" cy="606667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35</xdr:row>
      <xdr:rowOff>0</xdr:rowOff>
    </xdr:from>
    <xdr:to>
      <xdr:col>17</xdr:col>
      <xdr:colOff>497957</xdr:colOff>
      <xdr:row>64</xdr:row>
      <xdr:rowOff>119694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543800" y="6334125"/>
          <a:ext cx="7203557" cy="5367969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1" displayName="Table1" ref="C4:R64" totalsRowShown="0" headerRowDxfId="17" dataDxfId="16">
  <autoFilter ref="C4:R64">
    <filterColumn colId="1">
      <customFilters>
        <customFilter operator="notEqual" val=" "/>
      </customFilters>
    </filterColumn>
  </autoFilter>
  <tableColumns count="16">
    <tableColumn id="1" name="kuupäev" dataDxfId="15"/>
    <tableColumn id="2" name="jaama võimsus, MW" dataDxfId="14"/>
    <tableColumn id="3" name="sg_temp, °C" dataDxfId="13"/>
    <tableColumn id="4" name="peale SGK gaasid, °C" dataDxfId="12"/>
    <tableColumn id="5" name="kaugkütte return, °C" dataDxfId="11"/>
    <tableColumn id="15" name="t'' - treturn" dataDxfId="10">
      <calculatedColumnFormula>IF(Table1[[#This Row],[peale SGK gaasid, °C]]="","",Table1[[#This Row],[peale SGK gaasid, °C]]-Table1[[#This Row],[kaugkütte return, °C]])</calculatedColumnFormula>
    </tableColumn>
    <tableColumn id="6" name="Niiskus %" dataDxfId="9" dataCellStyle="Percent">
      <calculatedColumnFormula>VLOOKUP(C5,$W$47:$X$152,2,0)/100</calculatedColumnFormula>
    </tableColumn>
    <tableColumn id="7" name="SGK võimsus, MW" dataDxfId="8"/>
    <tableColumn id="8" name="mudeli järgi SGK max võimsus, MW" dataDxfId="7"/>
    <tableColumn id="16" name="mudeli järgi tegelik SGK võimsus, MW" dataDxfId="6"/>
    <tableColumn id="9" name="abs erinevus" dataDxfId="5">
      <calculatedColumnFormula>ABS(J5-L5)</calculatedColumnFormula>
    </tableColumn>
    <tableColumn id="10" name="suhteline erinevus" dataDxfId="4" dataCellStyle="Percent">
      <calculatedColumnFormula>IF(Table1[[#This Row],[mudeli järgi tegelik SGK võimsus, MW]]="","",ABS(M5/J5))</calculatedColumnFormula>
    </tableColumn>
    <tableColumn id="11" name="vee kulu SGK, m3/h" dataDxfId="3"/>
    <tableColumn id="13" name="vee kulu SGK, kg/s" dataDxfId="2">
      <calculatedColumnFormula>ROUND(VLOOKUP(Table1[[#This Row],[kaugkütte return, °C]],vee_tihedus,2,1)*Table1[[#This Row],[vee kulu SGK, m3/h]]/3600,2)</calculatedColumnFormula>
    </tableColumn>
    <tableColumn id="12" name="vee temp peale SGK, °C" dataDxfId="1"/>
    <tableColumn id="14" name="share" dataDxfId="0">
      <calculatedColumnFormula>Table1[[#This Row],[SGK võimsus, MW]]/(Table1[[#This Row],[jaama võimsus, MW]]+Table1[[#This Row],[SGK võimsus, MW]])</calculatedColumnFormula>
    </tableColumn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3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5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2:AI65"/>
  <sheetViews>
    <sheetView workbookViewId="0">
      <selection activeCell="K20" sqref="K20"/>
    </sheetView>
  </sheetViews>
  <sheetFormatPr defaultRowHeight="15" x14ac:dyDescent="0.25"/>
  <cols>
    <col min="1" max="1" width="8.59765625" style="1" customWidth="1"/>
    <col min="2" max="2" width="24.8984375" style="1" bestFit="1" customWidth="1"/>
    <col min="3" max="3" width="11.59765625" style="1" customWidth="1"/>
    <col min="4" max="4" width="12.09765625" style="1" customWidth="1"/>
    <col min="5" max="5" width="5.69921875" style="1" customWidth="1"/>
    <col min="6" max="6" width="3.69921875" style="1" customWidth="1"/>
    <col min="7" max="7" width="1.69921875" style="1" customWidth="1"/>
    <col min="8" max="8" width="5.09765625" style="1" customWidth="1"/>
    <col min="9" max="9" width="2.8984375" style="1" customWidth="1"/>
    <col min="10" max="10" width="3" style="1" customWidth="1"/>
    <col min="11" max="11" width="5.796875" style="1" customWidth="1"/>
    <col min="12" max="12" width="4.3984375" style="1" customWidth="1"/>
    <col min="13" max="13" width="8.796875" style="1"/>
    <col min="14" max="14" width="5" style="1" customWidth="1"/>
    <col min="15" max="15" width="3.09765625" style="1" customWidth="1"/>
    <col min="16" max="16" width="1.19921875" style="1" customWidth="1"/>
    <col min="17" max="17" width="5.09765625" style="1" customWidth="1"/>
    <col min="18" max="18" width="2.8984375" style="1" customWidth="1"/>
    <col min="19" max="19" width="2" style="1" customWidth="1"/>
    <col min="20" max="20" width="8.5" style="1" customWidth="1"/>
    <col min="21" max="21" width="4.3984375" style="1" customWidth="1"/>
    <col min="22" max="22" width="8.796875" style="1"/>
    <col min="23" max="23" width="6.09765625" style="1" customWidth="1"/>
    <col min="24" max="24" width="3.296875" style="1" customWidth="1"/>
    <col min="25" max="25" width="1.19921875" style="1" customWidth="1"/>
    <col min="26" max="26" width="6.69921875" style="1" customWidth="1"/>
    <col min="27" max="27" width="2.8984375" style="1" customWidth="1"/>
    <col min="28" max="28" width="2.3984375" style="1" customWidth="1"/>
    <col min="29" max="29" width="2.5" style="1" customWidth="1"/>
    <col min="30" max="30" width="7.59765625" style="1" customWidth="1"/>
    <col min="31" max="31" width="6.796875" style="1" customWidth="1"/>
    <col min="32" max="32" width="5.5" style="1" customWidth="1"/>
    <col min="33" max="16384" width="8.796875" style="1"/>
  </cols>
  <sheetData>
    <row r="2" spans="2:35" x14ac:dyDescent="0.25">
      <c r="B2" s="27" t="s">
        <v>147</v>
      </c>
      <c r="C2" s="4" t="str">
        <f>kütus</f>
        <v>puiduhake</v>
      </c>
      <c r="E2" s="4" t="s">
        <v>154</v>
      </c>
      <c r="F2" s="4"/>
      <c r="G2" s="4"/>
      <c r="H2" s="4"/>
      <c r="I2" s="4"/>
      <c r="J2" s="4"/>
      <c r="K2" s="4"/>
      <c r="L2" s="4"/>
      <c r="M2" s="27"/>
      <c r="N2" s="27"/>
      <c r="O2" s="27"/>
      <c r="P2" s="27"/>
      <c r="Q2" s="27"/>
      <c r="R2" s="4" t="s">
        <v>167</v>
      </c>
      <c r="S2" s="4"/>
      <c r="T2" s="4"/>
      <c r="U2" s="4"/>
      <c r="V2" s="4"/>
      <c r="W2" s="4"/>
      <c r="X2" s="4"/>
      <c r="Y2" s="27"/>
      <c r="Z2" s="27"/>
      <c r="AA2" s="27"/>
      <c r="AB2" s="27"/>
      <c r="AC2" s="27"/>
      <c r="AD2" s="27"/>
      <c r="AE2" s="27"/>
      <c r="AF2" s="27"/>
      <c r="AG2" s="27"/>
      <c r="AH2" s="27"/>
      <c r="AI2" s="27"/>
    </row>
    <row r="3" spans="2:35" ht="18" x14ac:dyDescent="0.35">
      <c r="B3" s="1" t="s">
        <v>138</v>
      </c>
      <c r="C3" s="22">
        <f>niiskus</f>
        <v>0.40754790489061576</v>
      </c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</row>
    <row r="4" spans="2:35" ht="18" x14ac:dyDescent="0.35">
      <c r="B4" s="1" t="s">
        <v>139</v>
      </c>
      <c r="C4" s="23">
        <f>VLOOKUP(C2,kütuse_andmed,9,0)</f>
        <v>18.57</v>
      </c>
      <c r="D4" s="1" t="s">
        <v>45</v>
      </c>
      <c r="E4" s="4">
        <v>1</v>
      </c>
      <c r="F4" s="4" t="s">
        <v>46</v>
      </c>
      <c r="G4" s="4" t="s">
        <v>47</v>
      </c>
      <c r="H4" s="4">
        <v>1</v>
      </c>
      <c r="I4" s="4" t="s">
        <v>49</v>
      </c>
      <c r="J4" s="4" t="s">
        <v>48</v>
      </c>
      <c r="K4" s="4">
        <v>1</v>
      </c>
      <c r="L4" s="4" t="s">
        <v>50</v>
      </c>
      <c r="M4" s="27"/>
      <c r="N4" s="27"/>
      <c r="O4" s="27"/>
      <c r="P4" s="27"/>
      <c r="Q4" s="27"/>
      <c r="R4" s="4" t="s">
        <v>168</v>
      </c>
      <c r="S4" s="4"/>
      <c r="T4" s="4"/>
      <c r="U4" s="4"/>
      <c r="V4" s="4"/>
      <c r="W4" s="26">
        <f>SUMIF(X5:X11,"kg/kg",W5:W11)</f>
        <v>4.0021868801449578</v>
      </c>
      <c r="X4" s="4" t="s">
        <v>1</v>
      </c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</row>
    <row r="5" spans="2:35" ht="18" x14ac:dyDescent="0.35">
      <c r="B5" s="1" t="s">
        <v>140</v>
      </c>
      <c r="C5" s="23">
        <f>C4*(1-niiskus)-(niiskus*(VLOOKUP(20,vee_kondsoojus,2,1))/1000)</f>
        <v>10.001875866741651</v>
      </c>
      <c r="D5" s="1" t="s">
        <v>45</v>
      </c>
      <c r="E5" s="43">
        <f>E6/0.012</f>
        <v>24.219671287095348</v>
      </c>
      <c r="F5" s="27" t="s">
        <v>161</v>
      </c>
      <c r="G5" s="27"/>
      <c r="H5" s="43">
        <f>E5*H4</f>
        <v>24.219671287095348</v>
      </c>
      <c r="I5" s="27" t="s">
        <v>161</v>
      </c>
      <c r="J5" s="27"/>
      <c r="K5" s="43">
        <f>E5*K4</f>
        <v>24.219671287095348</v>
      </c>
      <c r="L5" s="27" t="s">
        <v>161</v>
      </c>
      <c r="M5" s="27"/>
      <c r="N5" s="50"/>
      <c r="O5" s="27"/>
      <c r="P5" s="27"/>
      <c r="Q5" s="50"/>
      <c r="R5" s="63" t="s">
        <v>169</v>
      </c>
      <c r="S5" s="27"/>
      <c r="T5" s="50"/>
      <c r="U5" s="27"/>
      <c r="V5" s="27"/>
      <c r="W5" s="43">
        <f>K6</f>
        <v>1.0656655366321952</v>
      </c>
      <c r="X5" s="27" t="s">
        <v>1</v>
      </c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27"/>
    </row>
    <row r="6" spans="2:35" ht="18" x14ac:dyDescent="0.35">
      <c r="B6" s="1" t="s">
        <v>101</v>
      </c>
      <c r="C6" s="23">
        <v>1.05</v>
      </c>
      <c r="E6" s="43">
        <f>(VLOOKUP(kütus,kütuse_andmed,2,0)/100)*(1-niiskus-(VLOOKUP(kütus,kütuse_andmed,7,0)/100))</f>
        <v>0.2906360554451442</v>
      </c>
      <c r="F6" s="43" t="s">
        <v>1</v>
      </c>
      <c r="G6" s="27"/>
      <c r="H6" s="27">
        <f>H5*0.032</f>
        <v>0.77502948118705117</v>
      </c>
      <c r="I6" s="27" t="s">
        <v>1</v>
      </c>
      <c r="J6" s="27"/>
      <c r="K6" s="43">
        <f>K5*0.044</f>
        <v>1.0656655366321952</v>
      </c>
      <c r="L6" s="27" t="s">
        <v>1</v>
      </c>
      <c r="M6" s="27"/>
      <c r="N6" s="50"/>
      <c r="O6" s="43"/>
      <c r="P6" s="27"/>
      <c r="Q6" s="50"/>
      <c r="R6" s="27" t="s">
        <v>170</v>
      </c>
      <c r="S6" s="27"/>
      <c r="T6" s="43"/>
      <c r="U6" s="27"/>
      <c r="V6" s="27"/>
      <c r="W6" s="43">
        <f>VLOOKUP(kütus,kütuse_andmed,4,0)/100*(1-niiskus-(VLOOKUP(kütus,kütuse_andmed,7,0)/100))</f>
        <v>1.008740603588141E-3</v>
      </c>
      <c r="X6" s="27" t="s">
        <v>1</v>
      </c>
      <c r="Y6" s="27"/>
      <c r="Z6" s="43"/>
      <c r="AA6" s="27"/>
      <c r="AB6" s="27"/>
      <c r="AC6" s="27"/>
      <c r="AD6" s="27"/>
      <c r="AE6" s="27"/>
      <c r="AF6" s="27"/>
      <c r="AG6" s="27"/>
      <c r="AH6" s="27"/>
      <c r="AI6" s="27"/>
    </row>
    <row r="7" spans="2:35" ht="33" x14ac:dyDescent="0.35">
      <c r="B7" s="86" t="s">
        <v>141</v>
      </c>
      <c r="C7" s="5">
        <f>W13</f>
        <v>0.77826476656362509</v>
      </c>
      <c r="D7" s="1" t="s">
        <v>2</v>
      </c>
      <c r="E7" s="27"/>
      <c r="F7" s="27"/>
      <c r="G7" s="27"/>
      <c r="H7" s="27"/>
      <c r="I7" s="27"/>
      <c r="J7" s="27"/>
      <c r="K7" s="43">
        <f>K5*(VLOOKUP(sg_temp,molaarruumala,2,1))</f>
        <v>0.86084336390985328</v>
      </c>
      <c r="L7" s="27" t="s">
        <v>177</v>
      </c>
      <c r="M7" s="27"/>
      <c r="N7" s="43"/>
      <c r="O7" s="43"/>
      <c r="P7" s="27"/>
      <c r="Q7" s="50"/>
      <c r="R7" s="27" t="s">
        <v>179</v>
      </c>
      <c r="W7" s="5">
        <f>W6/0.028*VLOOKUP(sg_temp,molaarruumala,2,1)</f>
        <v>1.2804934530457363E-3</v>
      </c>
      <c r="X7" s="27" t="s">
        <v>177</v>
      </c>
      <c r="Z7" s="27"/>
      <c r="AA7" s="27"/>
      <c r="AB7" s="27"/>
      <c r="AC7" s="27"/>
      <c r="AD7" s="27"/>
      <c r="AE7" s="27"/>
      <c r="AF7" s="27"/>
      <c r="AG7" s="27"/>
      <c r="AH7" s="27"/>
      <c r="AI7" s="27"/>
    </row>
    <row r="8" spans="2:35" ht="30.75" customHeight="1" x14ac:dyDescent="0.35">
      <c r="B8" s="1" t="s">
        <v>142</v>
      </c>
      <c r="C8" s="5">
        <f>W4</f>
        <v>4.0021868801449578</v>
      </c>
      <c r="D8" s="1" t="s">
        <v>2</v>
      </c>
      <c r="E8" s="4">
        <v>1</v>
      </c>
      <c r="F8" s="4" t="s">
        <v>52</v>
      </c>
      <c r="G8" s="4" t="s">
        <v>47</v>
      </c>
      <c r="H8" s="4">
        <v>0.5</v>
      </c>
      <c r="I8" s="4" t="s">
        <v>49</v>
      </c>
      <c r="J8" s="4" t="s">
        <v>48</v>
      </c>
      <c r="K8" s="4">
        <v>1</v>
      </c>
      <c r="L8" s="4" t="s">
        <v>51</v>
      </c>
      <c r="M8" s="27"/>
      <c r="N8" s="27"/>
      <c r="O8" s="27"/>
      <c r="P8" s="27"/>
      <c r="Q8" s="27"/>
      <c r="R8" s="27" t="s">
        <v>171</v>
      </c>
      <c r="S8" s="27"/>
      <c r="T8" s="50"/>
      <c r="U8" s="87"/>
      <c r="V8" s="27"/>
      <c r="W8" s="43">
        <f>K19-K18</f>
        <v>4.1349164387684323E-2</v>
      </c>
      <c r="X8" s="27" t="s">
        <v>1</v>
      </c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/>
    </row>
    <row r="9" spans="2:35" ht="18.75" x14ac:dyDescent="0.35">
      <c r="B9" s="1" t="s">
        <v>143</v>
      </c>
      <c r="C9" s="5">
        <f>K7+W7+W9+W11</f>
        <v>4.5626085978912707</v>
      </c>
      <c r="D9" s="25" t="s">
        <v>73</v>
      </c>
      <c r="E9" s="43">
        <f>E10/0.002</f>
        <v>19.066003813821638</v>
      </c>
      <c r="F9" s="27" t="s">
        <v>161</v>
      </c>
      <c r="G9" s="27"/>
      <c r="H9" s="27">
        <f>H8*E9</f>
        <v>9.5330019069108189</v>
      </c>
      <c r="I9" s="27" t="s">
        <v>161</v>
      </c>
      <c r="J9" s="27"/>
      <c r="K9" s="27">
        <f>E9*K8</f>
        <v>19.066003813821638</v>
      </c>
      <c r="L9" s="27" t="s">
        <v>161</v>
      </c>
      <c r="M9" s="27"/>
      <c r="N9" s="88"/>
      <c r="O9" s="43"/>
      <c r="P9" s="27"/>
      <c r="Q9" s="27"/>
      <c r="R9" s="27" t="s">
        <v>178</v>
      </c>
      <c r="W9" s="5">
        <f>W8/0.032*(VLOOKUP(sg_temp,molaarruumala,2,1))</f>
        <v>4.5927483573705366E-2</v>
      </c>
      <c r="X9" s="27" t="s">
        <v>177</v>
      </c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</row>
    <row r="10" spans="2:35" ht="18" x14ac:dyDescent="0.35">
      <c r="B10" s="1" t="s">
        <v>144</v>
      </c>
      <c r="C10" s="5">
        <f>W4+W13</f>
        <v>4.7804516467085829</v>
      </c>
      <c r="D10" s="1" t="s">
        <v>2</v>
      </c>
      <c r="E10" s="43">
        <f>(VLOOKUP(kütus,kütuse_andmed,3,0)/100)*(1-niiskus-(VLOOKUP(kütus,kütuse_andmed,7,0)/100))</f>
        <v>3.813200762764328E-2</v>
      </c>
      <c r="F10" s="43" t="s">
        <v>1</v>
      </c>
      <c r="G10" s="27"/>
      <c r="H10" s="27">
        <f>H9*0.032</f>
        <v>0.30505606102114619</v>
      </c>
      <c r="I10" s="43" t="s">
        <v>1</v>
      </c>
      <c r="J10" s="27"/>
      <c r="K10" s="43">
        <f>K9*0.018</f>
        <v>0.34318806864878948</v>
      </c>
      <c r="L10" s="43" t="s">
        <v>1</v>
      </c>
      <c r="M10" s="27"/>
      <c r="N10" s="27"/>
      <c r="O10" s="27"/>
      <c r="P10" s="27"/>
      <c r="Q10" s="27"/>
      <c r="R10" s="27" t="s">
        <v>172</v>
      </c>
      <c r="S10" s="27"/>
      <c r="T10" s="50"/>
      <c r="U10" s="27"/>
      <c r="V10" s="27"/>
      <c r="W10" s="43">
        <f>SUMIF(L20:L26,"kg/kg",K20:K26)-K26</f>
        <v>2.8941634385214905</v>
      </c>
      <c r="X10" s="27" t="s">
        <v>1</v>
      </c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7"/>
    </row>
    <row r="11" spans="2:35" ht="18.75" x14ac:dyDescent="0.35">
      <c r="B11" s="1" t="s">
        <v>145</v>
      </c>
      <c r="C11" s="5">
        <f>W11+K7+W7+W9+(W13/0.018*VLOOKUP(sg_temp,molaarruumala,2,1))</f>
        <v>6.0993852574721954</v>
      </c>
      <c r="D11" s="25" t="s">
        <v>73</v>
      </c>
      <c r="E11" s="27"/>
      <c r="F11" s="43"/>
      <c r="G11" s="27"/>
      <c r="H11" s="27"/>
      <c r="I11" s="27"/>
      <c r="J11" s="27"/>
      <c r="K11" s="89"/>
      <c r="L11" s="27"/>
      <c r="M11" s="27"/>
      <c r="N11" s="27"/>
      <c r="O11" s="43"/>
      <c r="P11" s="27"/>
      <c r="Q11" s="27"/>
      <c r="R11" s="27" t="s">
        <v>183</v>
      </c>
      <c r="S11" s="27"/>
      <c r="T11" s="50"/>
      <c r="U11" s="27"/>
      <c r="V11" s="27"/>
      <c r="W11" s="43">
        <f>SUMIF(L21:L26,"m3/kg",K21:K26)</f>
        <v>3.654557256954666</v>
      </c>
      <c r="X11" s="27" t="s">
        <v>177</v>
      </c>
      <c r="Y11" s="27"/>
      <c r="Z11" s="27"/>
      <c r="AA11" s="27"/>
      <c r="AB11" s="27"/>
      <c r="AC11" s="27"/>
      <c r="AD11" s="27"/>
      <c r="AE11" s="27"/>
      <c r="AF11" s="27"/>
      <c r="AG11" s="27"/>
      <c r="AH11" s="27"/>
      <c r="AI11" s="27"/>
    </row>
    <row r="12" spans="2:35" ht="18.75" x14ac:dyDescent="0.35">
      <c r="B12" s="1" t="s">
        <v>145</v>
      </c>
      <c r="C12" s="40">
        <f>C11*3600</f>
        <v>21957.786926899902</v>
      </c>
      <c r="D12" s="25" t="s">
        <v>69</v>
      </c>
      <c r="E12" s="90" t="s">
        <v>155</v>
      </c>
      <c r="F12" s="43"/>
      <c r="G12" s="27"/>
      <c r="H12" s="27"/>
      <c r="I12" s="27"/>
      <c r="J12" s="27"/>
      <c r="K12" s="27"/>
      <c r="L12" s="27"/>
      <c r="M12" s="27"/>
      <c r="N12" s="90"/>
      <c r="O12" s="43"/>
      <c r="P12" s="27"/>
      <c r="Q12" s="27"/>
      <c r="R12" s="27"/>
      <c r="S12" s="27"/>
      <c r="T12" s="50"/>
      <c r="U12" s="87"/>
      <c r="V12" s="27"/>
      <c r="W12" s="27"/>
      <c r="X12" s="27"/>
      <c r="Y12" s="27"/>
      <c r="Z12" s="43"/>
      <c r="AA12" s="27"/>
      <c r="AB12" s="27"/>
      <c r="AC12" s="27"/>
      <c r="AD12" s="43"/>
      <c r="AE12" s="27"/>
      <c r="AF12" s="27"/>
      <c r="AG12" s="27"/>
      <c r="AH12" s="27"/>
      <c r="AI12" s="27"/>
    </row>
    <row r="13" spans="2:35" ht="18" x14ac:dyDescent="0.35">
      <c r="B13" s="5" t="s">
        <v>146</v>
      </c>
      <c r="C13" s="5">
        <f>W13/W4</f>
        <v>0.19445987653016258</v>
      </c>
      <c r="D13" s="5" t="s">
        <v>53</v>
      </c>
      <c r="E13" s="90" t="s">
        <v>156</v>
      </c>
      <c r="F13" s="27"/>
      <c r="G13" s="27"/>
      <c r="H13" s="27"/>
      <c r="I13" s="27"/>
      <c r="J13" s="27"/>
      <c r="K13" s="27"/>
      <c r="L13" s="27"/>
      <c r="M13" s="27"/>
      <c r="N13" s="90"/>
      <c r="O13" s="27"/>
      <c r="P13" s="27"/>
      <c r="Q13" s="27"/>
      <c r="R13" s="4" t="s">
        <v>173</v>
      </c>
      <c r="S13" s="4"/>
      <c r="T13" s="4"/>
      <c r="U13" s="4"/>
      <c r="V13" s="4"/>
      <c r="W13" s="26">
        <f>SUM(W14:W16)</f>
        <v>0.77826476656362509</v>
      </c>
      <c r="X13" s="4" t="s">
        <v>1</v>
      </c>
      <c r="Y13" s="27"/>
      <c r="Z13" s="27"/>
      <c r="AA13" s="27"/>
      <c r="AB13" s="27"/>
      <c r="AC13" s="27"/>
      <c r="AD13" s="27"/>
      <c r="AE13" s="27"/>
      <c r="AF13" s="27"/>
      <c r="AG13" s="27"/>
      <c r="AH13" s="27"/>
      <c r="AI13" s="27"/>
    </row>
    <row r="14" spans="2:35" ht="18" x14ac:dyDescent="0.35"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 t="s">
        <v>174</v>
      </c>
      <c r="S14" s="27"/>
      <c r="T14" s="43"/>
      <c r="U14" s="27"/>
      <c r="V14" s="27"/>
      <c r="W14" s="43">
        <f>K10</f>
        <v>0.34318806864878948</v>
      </c>
      <c r="X14" s="27" t="s">
        <v>1</v>
      </c>
      <c r="Y14" s="27"/>
      <c r="Z14" s="27"/>
      <c r="AA14" s="27"/>
      <c r="AB14" s="27"/>
      <c r="AC14" s="27"/>
      <c r="AD14" s="27"/>
      <c r="AE14" s="27"/>
      <c r="AF14" s="27"/>
      <c r="AG14" s="27"/>
      <c r="AH14" s="27"/>
      <c r="AI14" s="27"/>
    </row>
    <row r="15" spans="2:35" ht="18" x14ac:dyDescent="0.35">
      <c r="B15" s="4" t="s">
        <v>148</v>
      </c>
      <c r="C15" s="4" t="s">
        <v>1</v>
      </c>
      <c r="E15" s="26" t="s">
        <v>157</v>
      </c>
      <c r="F15" s="4"/>
      <c r="G15" s="4"/>
      <c r="H15" s="4"/>
      <c r="I15" s="4"/>
      <c r="J15" s="4"/>
      <c r="K15" s="26">
        <f>SUMIF(L16:L26,"kg/kg",K16:K26)-K18</f>
        <v>3.7900246836870806</v>
      </c>
      <c r="L15" s="4" t="s">
        <v>1</v>
      </c>
      <c r="M15" s="27"/>
      <c r="N15" s="43"/>
      <c r="O15" s="27"/>
      <c r="P15" s="27"/>
      <c r="Q15" s="27"/>
      <c r="R15" s="27" t="s">
        <v>175</v>
      </c>
      <c r="S15" s="27"/>
      <c r="T15" s="43"/>
      <c r="U15" s="87"/>
      <c r="V15" s="27"/>
      <c r="W15" s="43">
        <f>C3</f>
        <v>0.40754790489061576</v>
      </c>
      <c r="X15" s="27" t="s">
        <v>1</v>
      </c>
      <c r="Y15" s="27"/>
      <c r="Z15" s="43"/>
      <c r="AA15" s="27"/>
      <c r="AB15" s="27"/>
      <c r="AC15" s="27"/>
      <c r="AD15" s="43"/>
      <c r="AE15" s="27"/>
      <c r="AF15" s="27"/>
      <c r="AG15" s="27"/>
      <c r="AH15" s="27"/>
      <c r="AI15" s="27"/>
    </row>
    <row r="16" spans="2:35" ht="18" x14ac:dyDescent="0.35">
      <c r="B16" s="5" t="s">
        <v>149</v>
      </c>
      <c r="C16" s="72">
        <v>0.22900000000000001</v>
      </c>
      <c r="D16" s="5"/>
      <c r="E16" s="27" t="s">
        <v>158</v>
      </c>
      <c r="F16" s="43"/>
      <c r="G16" s="27"/>
      <c r="H16" s="27"/>
      <c r="I16" s="27"/>
      <c r="J16" s="27"/>
      <c r="K16" s="43">
        <f>VLOOKUP(kütus,kütuse_andmed,8,0)/100*(1-niiskus-(VLOOKUP(kütus,kütuse_andmed,7,0)/100))/0.032</f>
        <v>7.9094454517035162</v>
      </c>
      <c r="L16" s="27" t="s">
        <v>161</v>
      </c>
      <c r="M16" s="27"/>
      <c r="N16" s="27"/>
      <c r="O16" s="43"/>
      <c r="P16" s="27"/>
      <c r="Q16" s="27"/>
      <c r="R16" s="27" t="s">
        <v>176</v>
      </c>
      <c r="S16" s="27"/>
      <c r="T16" s="27"/>
      <c r="U16" s="27"/>
      <c r="V16" s="27"/>
      <c r="W16" s="43">
        <f>K26</f>
        <v>2.7528793024219823E-2</v>
      </c>
      <c r="X16" s="27" t="s">
        <v>1</v>
      </c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</row>
    <row r="17" spans="1:35" ht="18" x14ac:dyDescent="0.35">
      <c r="B17" s="1" t="s">
        <v>150</v>
      </c>
      <c r="C17" s="72">
        <v>0.75</v>
      </c>
      <c r="E17" s="1" t="s">
        <v>159</v>
      </c>
      <c r="K17" s="5">
        <f>H5+H9-K16</f>
        <v>25.843227742302648</v>
      </c>
      <c r="L17" s="27" t="s">
        <v>161</v>
      </c>
      <c r="M17" s="27"/>
      <c r="N17" s="27"/>
      <c r="O17" s="43"/>
      <c r="P17" s="27"/>
      <c r="Q17" s="27"/>
      <c r="R17" s="27"/>
      <c r="S17" s="27"/>
      <c r="T17" s="27"/>
      <c r="U17" s="27"/>
      <c r="V17" s="27"/>
      <c r="W17" s="43"/>
      <c r="X17" s="87"/>
      <c r="Y17" s="27"/>
      <c r="Z17" s="27"/>
      <c r="AA17" s="27"/>
      <c r="AB17" s="27"/>
      <c r="AC17" s="27"/>
      <c r="AD17" s="27"/>
      <c r="AE17" s="27"/>
      <c r="AF17" s="27"/>
      <c r="AG17" s="27"/>
      <c r="AH17" s="27"/>
      <c r="AI17" s="27"/>
    </row>
    <row r="18" spans="1:35" ht="18" x14ac:dyDescent="0.35">
      <c r="B18" s="24" t="s">
        <v>151</v>
      </c>
      <c r="C18" s="72">
        <v>1.2800000000000001E-2</v>
      </c>
      <c r="D18" s="24"/>
      <c r="E18" s="1" t="s">
        <v>160</v>
      </c>
      <c r="F18" s="27"/>
      <c r="G18" s="27"/>
      <c r="H18" s="27"/>
      <c r="I18" s="27"/>
      <c r="J18" s="27"/>
      <c r="K18" s="43">
        <f>K17*0.032</f>
        <v>0.82698328775368479</v>
      </c>
      <c r="L18" s="27" t="s">
        <v>1</v>
      </c>
      <c r="M18" s="27"/>
      <c r="N18" s="27"/>
      <c r="O18" s="27"/>
      <c r="P18" s="27"/>
      <c r="Q18" s="27"/>
      <c r="R18" s="27"/>
      <c r="S18" s="27"/>
      <c r="T18" s="43"/>
      <c r="U18" s="27"/>
      <c r="V18" s="27"/>
      <c r="W18" s="43"/>
      <c r="X18" s="27"/>
      <c r="Y18" s="27"/>
      <c r="Z18" s="27"/>
      <c r="AA18" s="27"/>
      <c r="AB18" s="27"/>
      <c r="AC18" s="27"/>
      <c r="AD18" s="43"/>
      <c r="AE18" s="27"/>
      <c r="AF18" s="27"/>
      <c r="AG18" s="27"/>
      <c r="AH18" s="27"/>
      <c r="AI18" s="27"/>
    </row>
    <row r="19" spans="1:35" ht="18" x14ac:dyDescent="0.35">
      <c r="B19" s="1" t="s">
        <v>152</v>
      </c>
      <c r="C19" s="1">
        <v>4.6000000000000001E-4</v>
      </c>
      <c r="E19" s="27" t="s">
        <v>162</v>
      </c>
      <c r="F19" s="27"/>
      <c r="G19" s="27"/>
      <c r="H19" s="27"/>
      <c r="I19" s="27"/>
      <c r="J19" s="27"/>
      <c r="K19" s="43">
        <f>K18*liigõhutegur</f>
        <v>0.86833245214136912</v>
      </c>
      <c r="L19" s="27" t="s">
        <v>1</v>
      </c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7"/>
    </row>
    <row r="20" spans="1:35" ht="18" x14ac:dyDescent="0.35">
      <c r="B20" s="1" t="s">
        <v>153</v>
      </c>
      <c r="C20" s="1">
        <v>7.26E-3</v>
      </c>
      <c r="D20" s="24"/>
      <c r="E20" s="43" t="s">
        <v>163</v>
      </c>
      <c r="F20" s="87"/>
      <c r="G20" s="27"/>
      <c r="H20" s="43"/>
      <c r="I20" s="27"/>
      <c r="J20" s="27"/>
      <c r="K20" s="43">
        <f>$K$19*C17/$C$16</f>
        <v>2.843883576882213</v>
      </c>
      <c r="L20" s="27" t="s">
        <v>1</v>
      </c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27"/>
      <c r="AH20" s="27"/>
      <c r="AI20" s="27"/>
    </row>
    <row r="21" spans="1:35" ht="18.75" x14ac:dyDescent="0.35">
      <c r="B21" s="27"/>
      <c r="C21" s="27"/>
      <c r="D21" s="27"/>
      <c r="E21" s="43" t="s">
        <v>180</v>
      </c>
      <c r="K21" s="5">
        <f>K20/0.028*VLOOKUP(sg_temp,molaarruumala,2,1)</f>
        <v>3.610020542911331</v>
      </c>
      <c r="L21" s="27" t="s">
        <v>177</v>
      </c>
      <c r="M21" s="27"/>
      <c r="T21" s="27"/>
      <c r="U21" s="27"/>
      <c r="V21" s="27"/>
      <c r="W21" s="102"/>
      <c r="X21" s="87"/>
      <c r="Y21" s="27"/>
      <c r="Z21" s="27"/>
      <c r="AA21" s="27"/>
      <c r="AB21" s="27"/>
      <c r="AC21" s="27"/>
      <c r="AD21" s="27"/>
      <c r="AE21" s="27"/>
      <c r="AF21" s="27"/>
      <c r="AG21" s="27"/>
      <c r="AH21" s="27"/>
      <c r="AI21" s="27"/>
    </row>
    <row r="22" spans="1:35" ht="18" x14ac:dyDescent="0.35">
      <c r="A22" s="27"/>
      <c r="E22" s="27" t="s">
        <v>164</v>
      </c>
      <c r="F22" s="87"/>
      <c r="G22" s="27"/>
      <c r="H22" s="90"/>
      <c r="I22" s="27"/>
      <c r="J22" s="27"/>
      <c r="K22" s="27">
        <f>$K$19*C18/$C$16</f>
        <v>4.8535613045456442E-2</v>
      </c>
      <c r="L22" s="27" t="s">
        <v>1</v>
      </c>
      <c r="M22" s="27"/>
      <c r="T22" s="27"/>
      <c r="U22" s="27"/>
      <c r="V22" s="27"/>
      <c r="W22" s="43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7"/>
    </row>
    <row r="23" spans="1:35" ht="18.75" x14ac:dyDescent="0.35">
      <c r="A23" s="27"/>
      <c r="E23" s="27" t="s">
        <v>181</v>
      </c>
      <c r="K23" s="24">
        <f>K22/0.04*VLOOKUP(sg_temp,molaarruumala,2,1)</f>
        <v>4.3127712085980707E-2</v>
      </c>
      <c r="L23" s="27" t="s">
        <v>177</v>
      </c>
      <c r="M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7"/>
    </row>
    <row r="24" spans="1:35" ht="18" x14ac:dyDescent="0.35">
      <c r="A24" s="27"/>
      <c r="E24" s="27" t="s">
        <v>165</v>
      </c>
      <c r="F24" s="27"/>
      <c r="G24" s="27"/>
      <c r="H24" s="27"/>
      <c r="I24" s="27"/>
      <c r="J24" s="27"/>
      <c r="K24" s="27">
        <f>$K$19*C19/$C$16</f>
        <v>1.7442485938210909E-3</v>
      </c>
      <c r="L24" s="27" t="s">
        <v>1</v>
      </c>
      <c r="M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7"/>
    </row>
    <row r="25" spans="1:35" ht="18.75" x14ac:dyDescent="0.35">
      <c r="A25" s="27"/>
      <c r="E25" s="27" t="s">
        <v>182</v>
      </c>
      <c r="K25" s="24">
        <f>K24/0.044*VLOOKUP(sg_temp,molaarruumala,2,1)</f>
        <v>1.4090019573544835E-3</v>
      </c>
      <c r="L25" s="27" t="s">
        <v>177</v>
      </c>
      <c r="M25" s="43"/>
      <c r="W25" s="5"/>
      <c r="X25" s="25"/>
    </row>
    <row r="26" spans="1:35" ht="18" x14ac:dyDescent="0.35">
      <c r="A26" s="27"/>
      <c r="E26" s="27" t="s">
        <v>166</v>
      </c>
      <c r="F26" s="27"/>
      <c r="G26" s="27"/>
      <c r="H26" s="27"/>
      <c r="I26" s="27"/>
      <c r="J26" s="27"/>
      <c r="K26" s="27">
        <f>$K$19*C20/$C$16</f>
        <v>2.7528793024219823E-2</v>
      </c>
      <c r="L26" s="27" t="s">
        <v>1</v>
      </c>
      <c r="M26" s="43"/>
      <c r="W26" s="5"/>
    </row>
    <row r="27" spans="1:35" x14ac:dyDescent="0.25">
      <c r="A27" s="27"/>
      <c r="E27" s="191"/>
      <c r="F27" s="191"/>
      <c r="G27" s="27"/>
      <c r="H27" s="192"/>
      <c r="I27" s="192"/>
      <c r="J27" s="192"/>
      <c r="K27" s="192"/>
      <c r="L27" s="27"/>
      <c r="M27" s="43"/>
    </row>
    <row r="28" spans="1:35" x14ac:dyDescent="0.25">
      <c r="A28" s="27"/>
      <c r="E28" s="191"/>
      <c r="F28" s="191"/>
      <c r="G28" s="27"/>
      <c r="H28" s="192"/>
      <c r="I28" s="192"/>
      <c r="J28" s="192"/>
      <c r="K28" s="192"/>
      <c r="L28" s="27"/>
      <c r="M28" s="43"/>
      <c r="N28" s="191"/>
      <c r="O28" s="191"/>
      <c r="P28" s="27"/>
      <c r="Q28" s="27"/>
      <c r="R28" s="27"/>
    </row>
    <row r="29" spans="1:35" x14ac:dyDescent="0.25">
      <c r="A29" s="27"/>
      <c r="E29" s="191"/>
      <c r="F29" s="191"/>
      <c r="G29" s="27"/>
      <c r="H29" s="192"/>
      <c r="I29" s="192"/>
      <c r="J29" s="192"/>
      <c r="K29" s="192"/>
      <c r="L29" s="27"/>
      <c r="M29" s="43"/>
      <c r="N29" s="191"/>
      <c r="O29" s="191"/>
      <c r="P29" s="27"/>
      <c r="Q29" s="27"/>
      <c r="R29" s="27"/>
    </row>
    <row r="30" spans="1:35" x14ac:dyDescent="0.25">
      <c r="A30" s="27"/>
      <c r="E30" s="191"/>
      <c r="F30" s="191"/>
      <c r="G30" s="191"/>
      <c r="H30" s="193"/>
      <c r="I30" s="193"/>
      <c r="J30" s="193"/>
      <c r="K30" s="193"/>
      <c r="L30" s="43"/>
      <c r="M30" s="43"/>
      <c r="N30" s="191"/>
      <c r="O30" s="191"/>
      <c r="P30" s="27"/>
      <c r="Q30" s="27"/>
      <c r="R30" s="27"/>
    </row>
    <row r="31" spans="1:35" x14ac:dyDescent="0.25">
      <c r="A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</row>
    <row r="32" spans="1:35" x14ac:dyDescent="0.25">
      <c r="A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</row>
    <row r="33" spans="1:18" x14ac:dyDescent="0.25">
      <c r="A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</row>
    <row r="34" spans="1:18" x14ac:dyDescent="0.25">
      <c r="A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</row>
    <row r="35" spans="1:18" x14ac:dyDescent="0.25">
      <c r="A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</row>
    <row r="38" spans="1:18" x14ac:dyDescent="0.25">
      <c r="E38" s="194"/>
      <c r="F38" s="194"/>
    </row>
    <row r="39" spans="1:18" x14ac:dyDescent="0.25">
      <c r="E39" s="194"/>
      <c r="F39" s="194"/>
    </row>
    <row r="40" spans="1:18" x14ac:dyDescent="0.25">
      <c r="E40" s="194"/>
      <c r="F40" s="194"/>
    </row>
    <row r="41" spans="1:18" x14ac:dyDescent="0.25">
      <c r="E41" s="194"/>
      <c r="F41" s="194"/>
    </row>
    <row r="44" spans="1:18" x14ac:dyDescent="0.25">
      <c r="A44" s="27"/>
      <c r="B44" s="27"/>
      <c r="C44" s="27"/>
    </row>
    <row r="45" spans="1:18" x14ac:dyDescent="0.25">
      <c r="A45" s="27"/>
      <c r="B45" s="43"/>
      <c r="C45" s="90"/>
      <c r="D45" s="28"/>
    </row>
    <row r="46" spans="1:18" x14ac:dyDescent="0.25">
      <c r="A46" s="27"/>
      <c r="B46" s="91"/>
      <c r="C46" s="90"/>
      <c r="D46" s="28"/>
    </row>
    <row r="47" spans="1:18" x14ac:dyDescent="0.25">
      <c r="A47" s="27"/>
      <c r="B47" s="43"/>
      <c r="C47" s="90"/>
      <c r="D47" s="28"/>
    </row>
    <row r="48" spans="1:18" x14ac:dyDescent="0.25">
      <c r="A48" s="27"/>
      <c r="B48" s="43"/>
      <c r="C48" s="90"/>
      <c r="D48" s="28"/>
    </row>
    <row r="49" spans="1:4" x14ac:dyDescent="0.25">
      <c r="A49" s="27"/>
      <c r="B49" s="43"/>
      <c r="C49" s="90"/>
      <c r="D49" s="28"/>
    </row>
    <row r="50" spans="1:4" x14ac:dyDescent="0.25">
      <c r="A50" s="27"/>
      <c r="B50" s="43"/>
      <c r="C50" s="90"/>
      <c r="D50" s="28"/>
    </row>
    <row r="51" spans="1:4" x14ac:dyDescent="0.25">
      <c r="A51" s="27"/>
      <c r="B51" s="43"/>
      <c r="C51" s="90"/>
      <c r="D51" s="28"/>
    </row>
    <row r="52" spans="1:4" x14ac:dyDescent="0.25">
      <c r="A52" s="27"/>
      <c r="B52" s="43"/>
      <c r="C52" s="90"/>
      <c r="D52" s="28"/>
    </row>
    <row r="53" spans="1:4" x14ac:dyDescent="0.25">
      <c r="A53" s="27"/>
      <c r="B53" s="43"/>
      <c r="C53" s="90"/>
      <c r="D53" s="28"/>
    </row>
    <row r="54" spans="1:4" x14ac:dyDescent="0.25">
      <c r="A54" s="27"/>
      <c r="B54" s="43"/>
      <c r="C54" s="90"/>
      <c r="D54" s="28"/>
    </row>
    <row r="55" spans="1:4" x14ac:dyDescent="0.25">
      <c r="A55" s="27"/>
      <c r="B55" s="43"/>
      <c r="C55" s="90"/>
      <c r="D55" s="28"/>
    </row>
    <row r="56" spans="1:4" x14ac:dyDescent="0.25">
      <c r="A56" s="27"/>
      <c r="B56" s="43"/>
      <c r="C56" s="90"/>
      <c r="D56" s="28"/>
    </row>
    <row r="57" spans="1:4" x14ac:dyDescent="0.25">
      <c r="A57" s="27"/>
      <c r="B57" s="5"/>
      <c r="C57" s="90"/>
      <c r="D57" s="28"/>
    </row>
    <row r="58" spans="1:4" x14ac:dyDescent="0.25">
      <c r="A58" s="27"/>
      <c r="B58" s="5"/>
      <c r="C58" s="90"/>
      <c r="D58" s="28"/>
    </row>
    <row r="59" spans="1:4" x14ac:dyDescent="0.25">
      <c r="A59" s="27"/>
      <c r="B59" s="5"/>
      <c r="C59" s="90"/>
      <c r="D59" s="28"/>
    </row>
    <row r="60" spans="1:4" x14ac:dyDescent="0.25">
      <c r="A60" s="27"/>
      <c r="B60" s="5"/>
      <c r="C60" s="90"/>
      <c r="D60" s="28"/>
    </row>
    <row r="61" spans="1:4" x14ac:dyDescent="0.25">
      <c r="A61" s="27"/>
      <c r="B61" s="5"/>
      <c r="C61" s="90"/>
      <c r="D61" s="28"/>
    </row>
    <row r="62" spans="1:4" x14ac:dyDescent="0.25">
      <c r="A62" s="27"/>
      <c r="B62" s="5"/>
      <c r="C62" s="90"/>
      <c r="D62" s="28"/>
    </row>
    <row r="63" spans="1:4" x14ac:dyDescent="0.25">
      <c r="A63" s="27"/>
      <c r="B63" s="5"/>
      <c r="C63" s="90"/>
      <c r="D63" s="28"/>
    </row>
    <row r="64" spans="1:4" x14ac:dyDescent="0.25">
      <c r="A64" s="27"/>
      <c r="B64" s="5"/>
      <c r="C64" s="90"/>
      <c r="D64" s="28"/>
    </row>
    <row r="65" spans="1:3" x14ac:dyDescent="0.25">
      <c r="A65" s="27"/>
      <c r="B65" s="5"/>
      <c r="C65" s="90"/>
    </row>
  </sheetData>
  <mergeCells count="15">
    <mergeCell ref="E38:F38"/>
    <mergeCell ref="E39:F39"/>
    <mergeCell ref="E40:F40"/>
    <mergeCell ref="E41:F41"/>
    <mergeCell ref="E27:F27"/>
    <mergeCell ref="E28:F28"/>
    <mergeCell ref="E29:F29"/>
    <mergeCell ref="E30:G30"/>
    <mergeCell ref="N28:O28"/>
    <mergeCell ref="N29:O29"/>
    <mergeCell ref="N30:O30"/>
    <mergeCell ref="H27:K27"/>
    <mergeCell ref="H28:K28"/>
    <mergeCell ref="H29:K29"/>
    <mergeCell ref="H30:K30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B1:H57"/>
  <sheetViews>
    <sheetView workbookViewId="0">
      <selection activeCell="D36" sqref="D36"/>
    </sheetView>
  </sheetViews>
  <sheetFormatPr defaultRowHeight="15" x14ac:dyDescent="0.25"/>
  <cols>
    <col min="1" max="1" width="8.796875" style="19"/>
    <col min="2" max="2" width="15" style="19" bestFit="1" customWidth="1"/>
    <col min="3" max="4" width="18.3984375" style="19" bestFit="1" customWidth="1"/>
    <col min="5" max="5" width="19.69921875" style="19" customWidth="1"/>
    <col min="6" max="6" width="18.3984375" style="19" bestFit="1" customWidth="1"/>
    <col min="7" max="7" width="19.296875" style="19" customWidth="1"/>
    <col min="8" max="8" width="9.296875" style="19" bestFit="1" customWidth="1"/>
    <col min="9" max="16384" width="8.796875" style="19"/>
  </cols>
  <sheetData>
    <row r="1" spans="2:8" x14ac:dyDescent="0.25">
      <c r="C1" s="19">
        <v>2</v>
      </c>
      <c r="D1" s="19">
        <v>3</v>
      </c>
      <c r="E1" s="19">
        <v>4</v>
      </c>
      <c r="F1" s="19">
        <v>5</v>
      </c>
      <c r="G1" s="19">
        <v>6</v>
      </c>
    </row>
    <row r="2" spans="2:8" x14ac:dyDescent="0.25">
      <c r="C2" s="19">
        <f>VLOOKUP(sg_temp,kin_visk,C1,1)</f>
        <v>2.8919487321931671E-5</v>
      </c>
      <c r="D2" s="19">
        <f>VLOOKUP(sg_temp,kin_visk,D1,1)</f>
        <v>2.7464839523981247E-5</v>
      </c>
      <c r="E2" s="19">
        <f>VLOOKUP(sg_temp,kin_visk,E1,1)</f>
        <v>3.027341238200571E-5</v>
      </c>
      <c r="F2" s="19">
        <f>VLOOKUP(sg_temp,kin_visk,F1,1)</f>
        <v>1.7298357440549154E-5</v>
      </c>
      <c r="G2" s="19">
        <f>VLOOKUP(sg_temp,kin_visk,G1,1)</f>
        <v>3.0777975373117526E-5</v>
      </c>
    </row>
    <row r="3" spans="2:8" x14ac:dyDescent="0.25">
      <c r="C3" s="19">
        <f>C4*C2</f>
        <v>4.7081363254117023E-6</v>
      </c>
      <c r="D3" s="19">
        <f t="shared" ref="D3:G3" si="0">D4*D2</f>
        <v>2.7884872016419607E-7</v>
      </c>
      <c r="E3" s="19">
        <f t="shared" si="0"/>
        <v>1.8015996118054188E-5</v>
      </c>
      <c r="F3" s="19">
        <f t="shared" si="0"/>
        <v>3.8624877657935295E-6</v>
      </c>
      <c r="G3" s="19">
        <f t="shared" si="0"/>
        <v>2.6621826916696701E-7</v>
      </c>
      <c r="H3" s="19">
        <f>SUM(C3:G3)</f>
        <v>2.7131687198590582E-5</v>
      </c>
    </row>
    <row r="4" spans="2:8" x14ac:dyDescent="0.25">
      <c r="B4" s="19" t="s">
        <v>238</v>
      </c>
      <c r="C4" s="69">
        <f>'saadav soojus'!E8/suitsugaasid!C10</f>
        <v>0.16280151418317823</v>
      </c>
      <c r="D4" s="69">
        <f>'saadav soojus'!C22/suitsugaasid!C10</f>
        <v>1.015293462467589E-2</v>
      </c>
      <c r="E4" s="69">
        <f>'saadav soojus'!C19/suitsugaasid!C10</f>
        <v>0.59510952682568286</v>
      </c>
      <c r="F4" s="69">
        <f>'saadav soojus'!C20/suitsugaasid!C10</f>
        <v>0.22328638884172061</v>
      </c>
      <c r="G4" s="69">
        <f>'saadav soojus'!C21/suitsugaasid!C10</f>
        <v>8.6496355247424953E-3</v>
      </c>
      <c r="H4" s="70"/>
    </row>
    <row r="5" spans="2:8" x14ac:dyDescent="0.25">
      <c r="C5" s="38" t="s">
        <v>70</v>
      </c>
      <c r="D5" s="19" t="s">
        <v>134</v>
      </c>
      <c r="E5" s="19" t="s">
        <v>110</v>
      </c>
      <c r="F5" s="19" t="s">
        <v>109</v>
      </c>
      <c r="G5" s="19" t="s">
        <v>108</v>
      </c>
    </row>
    <row r="6" spans="2:8" ht="17.25" x14ac:dyDescent="0.25">
      <c r="B6" s="19" t="s">
        <v>63</v>
      </c>
      <c r="C6" s="19" t="s">
        <v>77</v>
      </c>
      <c r="D6" s="19" t="s">
        <v>77</v>
      </c>
      <c r="E6" s="19" t="s">
        <v>77</v>
      </c>
      <c r="F6" s="19" t="s">
        <v>77</v>
      </c>
      <c r="G6" s="19" t="s">
        <v>77</v>
      </c>
    </row>
    <row r="7" spans="2:8" x14ac:dyDescent="0.25">
      <c r="B7" s="19">
        <v>30</v>
      </c>
      <c r="C7" s="19">
        <f>'dünaamiline viskoossus'!C4/tihedused!F4</f>
        <v>8.0083362627429312E-7</v>
      </c>
      <c r="D7" s="19">
        <f>'dünaamiline viskoossus'!D4/tihedused!G4</f>
        <v>1.4424265355025855E-5</v>
      </c>
      <c r="E7" s="19">
        <f>'dünaamiline viskoossus'!E4/tihedused!H4</f>
        <v>1.6230658510255489E-5</v>
      </c>
      <c r="F7" s="19">
        <f>'dünaamiline viskoossus'!F4/tihedused!I4</f>
        <v>8.6496038305877001E-6</v>
      </c>
      <c r="G7" s="19">
        <f>'dünaamiline viskoossus'!G4/tihedused!J4</f>
        <v>1.6322128631032038E-5</v>
      </c>
    </row>
    <row r="8" spans="2:8" x14ac:dyDescent="0.25">
      <c r="B8" s="19">
        <v>31</v>
      </c>
      <c r="C8" s="19">
        <f>'dünaamiline viskoossus'!C5/tihedused!F5</f>
        <v>7.8380522088353414E-7</v>
      </c>
      <c r="D8" s="19">
        <f>'dünaamiline viskoossus'!D5/tihedused!G5</f>
        <v>1.4511577881817032E-5</v>
      </c>
      <c r="E8" s="19">
        <f>'dünaamiline viskoossus'!E5/tihedused!H5</f>
        <v>1.6326383247585522E-5</v>
      </c>
      <c r="F8" s="19">
        <f>'dünaamiline viskoossus'!F5/tihedused!I5</f>
        <v>8.7057477838146997E-6</v>
      </c>
      <c r="G8" s="19">
        <f>'dünaamiline viskoossus'!G5/tihedused!J5</f>
        <v>1.6419714082615907E-5</v>
      </c>
    </row>
    <row r="9" spans="2:8" x14ac:dyDescent="0.25">
      <c r="B9" s="19">
        <v>32</v>
      </c>
      <c r="C9" s="19">
        <f>'dünaamiline viskoossus'!C6/tihedused!F6</f>
        <v>7.684020100502513E-7</v>
      </c>
      <c r="D9" s="19">
        <f>'dünaamiline viskoossus'!D6/tihedused!G6</f>
        <v>1.4598832042655835E-5</v>
      </c>
      <c r="E9" s="19">
        <f>'dünaamiline viskoossus'!E6/tihedused!H6</f>
        <v>1.6420356787104952E-5</v>
      </c>
      <c r="F9" s="19">
        <f>'dünaamiline viskoossus'!F6/tihedused!I6</f>
        <v>8.762768277286814E-6</v>
      </c>
      <c r="G9" s="19">
        <f>'dünaamiline viskoossus'!G6/tihedused!J6</f>
        <v>1.6517949124336319E-5</v>
      </c>
    </row>
    <row r="10" spans="2:8" x14ac:dyDescent="0.25">
      <c r="B10" s="19">
        <v>33</v>
      </c>
      <c r="C10" s="19">
        <f>'dünaamiline viskoossus'!C7/tihedused!F7</f>
        <v>7.5274371859296488E-7</v>
      </c>
      <c r="D10" s="19">
        <f>'dünaamiline viskoossus'!D7/tihedused!G7</f>
        <v>1.4687300980766784E-5</v>
      </c>
      <c r="E10" s="19">
        <f>'dünaamiline viskoossus'!E7/tihedused!H7</f>
        <v>1.651585354774235E-5</v>
      </c>
      <c r="F10" s="19">
        <f>'dünaamiline viskoossus'!F7/tihedused!I7</f>
        <v>8.819736311819909E-6</v>
      </c>
      <c r="G10" s="19">
        <f>'dünaamiline viskoossus'!G7/tihedused!J7</f>
        <v>1.6614724121481954E-5</v>
      </c>
    </row>
    <row r="11" spans="2:8" x14ac:dyDescent="0.25">
      <c r="B11" s="19">
        <v>34</v>
      </c>
      <c r="C11" s="19">
        <f>'dünaamiline viskoossus'!C8/tihedused!F8</f>
        <v>7.3832997987927568E-7</v>
      </c>
      <c r="D11" s="19">
        <f>'dünaamiline viskoossus'!D8/tihedused!G8</f>
        <v>1.4774774774774776E-5</v>
      </c>
      <c r="E11" s="19">
        <f>'dünaamiline viskoossus'!E8/tihedused!H8</f>
        <v>1.6611977030352751E-5</v>
      </c>
      <c r="F11" s="19">
        <f>'dünaamiline viskoossus'!F8/tihedused!I8</f>
        <v>8.8770146149846916E-6</v>
      </c>
      <c r="G11" s="19">
        <f>'dünaamiline viskoossus'!G8/tihedused!J8</f>
        <v>1.6712929728005106E-5</v>
      </c>
    </row>
    <row r="12" spans="2:8" x14ac:dyDescent="0.25">
      <c r="B12" s="19">
        <v>35</v>
      </c>
      <c r="C12" s="19">
        <f>'dünaamiline viskoossus'!C9/tihedused!F9</f>
        <v>7.2366197183098587E-7</v>
      </c>
      <c r="D12" s="19">
        <f>'dünaamiline viskoossus'!D9/tihedused!G9</f>
        <v>1.4863461538461537E-5</v>
      </c>
      <c r="E12" s="19">
        <f>'dünaamiline viskoossus'!E9/tihedused!H9</f>
        <v>1.6707818930041152E-5</v>
      </c>
      <c r="F12" s="19">
        <f>'dünaamiline viskoossus'!F9/tihedused!I9</f>
        <v>8.9388228472020879E-6</v>
      </c>
      <c r="G12" s="19">
        <f>'dünaamiline viskoossus'!G9/tihedused!J9</f>
        <v>1.6811779769526247E-5</v>
      </c>
    </row>
    <row r="13" spans="2:8" x14ac:dyDescent="0.25">
      <c r="B13" s="19">
        <v>36</v>
      </c>
      <c r="C13" s="19">
        <f>'dünaamiline viskoossus'!C10/tihedused!F10</f>
        <v>7.0944668008048281E-7</v>
      </c>
      <c r="D13" s="19">
        <f>'dünaamiline viskoossus'!D10/tihedused!G10</f>
        <v>1.4373271593028492E-5</v>
      </c>
      <c r="E13" s="19">
        <f>'dünaamiline viskoossus'!E10/tihedused!H10</f>
        <v>1.6803669724770641E-5</v>
      </c>
      <c r="F13" s="19">
        <f>'dünaamiline viskoossus'!F10/tihedused!I10</f>
        <v>8.9916845961504926E-6</v>
      </c>
      <c r="G13" s="19">
        <f>'dünaamiline viskoossus'!G10/tihedused!J10</f>
        <v>1.6909120102761721E-5</v>
      </c>
    </row>
    <row r="14" spans="2:8" x14ac:dyDescent="0.25">
      <c r="B14" s="19">
        <v>37</v>
      </c>
      <c r="C14" s="19">
        <f>'dünaamiline viskoossus'!C11/tihedused!F11</f>
        <v>6.9639476334340386E-7</v>
      </c>
      <c r="D14" s="19">
        <f>'dünaamiline viskoossus'!D11/tihedused!G11</f>
        <v>1.5040325182269826E-5</v>
      </c>
      <c r="E14" s="19">
        <f>'dünaamiline viskoossus'!E11/tihedused!H11</f>
        <v>1.690077319587629E-5</v>
      </c>
      <c r="F14" s="19">
        <f>'dünaamiline viskoossus'!F11/tihedused!I11</f>
        <v>9.0490636485619282E-6</v>
      </c>
      <c r="G14" s="19">
        <f>'dünaamiline viskoossus'!G11/tihedused!J11</f>
        <v>1.700926298832058E-5</v>
      </c>
    </row>
    <row r="15" spans="2:8" x14ac:dyDescent="0.25">
      <c r="B15" s="19">
        <v>38</v>
      </c>
      <c r="C15" s="19">
        <f>'dünaamiline viskoossus'!C12/tihedused!F12</f>
        <v>6.8305135951661632E-7</v>
      </c>
      <c r="D15" s="19">
        <f>'dünaamiline viskoossus'!D12/tihedused!G12</f>
        <v>1.5129134571816947E-5</v>
      </c>
      <c r="E15" s="19">
        <f>'dünaamiline viskoossus'!E12/tihedused!H12</f>
        <v>1.6997876073506329E-5</v>
      </c>
      <c r="F15" s="19">
        <f>'dünaamiline viskoossus'!F12/tihedused!I12</f>
        <v>9.1068188469417623E-6</v>
      </c>
      <c r="G15" s="19">
        <f>'dünaamiline viskoossus'!G12/tihedused!J12</f>
        <v>1.7107878787878791E-5</v>
      </c>
    </row>
    <row r="16" spans="2:8" x14ac:dyDescent="0.25">
      <c r="B16" s="19">
        <v>39</v>
      </c>
      <c r="C16" s="19">
        <f>'dünaamiline viskoossus'!C13/tihedused!F13</f>
        <v>6.7012084592145005E-7</v>
      </c>
      <c r="D16" s="19">
        <f>'dünaamiline viskoossus'!D13/tihedused!G13</f>
        <v>1.5218181818181818E-5</v>
      </c>
      <c r="E16" s="19">
        <f>'dünaamiline viskoossus'!E13/tihedused!H13</f>
        <v>1.7093098656785551E-5</v>
      </c>
      <c r="F16" s="19">
        <f>'dünaamiline viskoossus'!F13/tihedused!I13</f>
        <v>9.1644157369348213E-6</v>
      </c>
      <c r="G16" s="19">
        <f>'dünaamiline viskoossus'!G13/tihedused!J13</f>
        <v>1.7205739299610895E-5</v>
      </c>
    </row>
    <row r="17" spans="2:7" x14ac:dyDescent="0.25">
      <c r="B17" s="19">
        <v>40</v>
      </c>
      <c r="C17" s="19">
        <f>'dünaamiline viskoossus'!C14/tihedused!F14</f>
        <v>6.5824596774193552E-7</v>
      </c>
      <c r="D17" s="19">
        <f>'dünaamiline viskoossus'!D14/tihedused!G14</f>
        <v>1.5308143322475571E-5</v>
      </c>
      <c r="E17" s="19">
        <f>'dünaamiline viskoossus'!E14/tihedused!H14</f>
        <v>1.7190520446096653E-5</v>
      </c>
      <c r="F17" s="19">
        <f>'dünaamiline viskoossus'!F14/tihedused!I14</f>
        <v>9.2223858615611181E-6</v>
      </c>
      <c r="G17" s="19">
        <f>'dünaamiline viskoossus'!G14/tihedused!J14</f>
        <v>1.7305627846454132E-5</v>
      </c>
    </row>
    <row r="18" spans="2:7" x14ac:dyDescent="0.25">
      <c r="B18" s="19">
        <v>41</v>
      </c>
      <c r="C18" s="19">
        <f>'dünaamiline viskoossus'!C15/tihedused!F15</f>
        <v>6.460685483870968E-7</v>
      </c>
      <c r="D18" s="19">
        <f>'dünaamiline viskoossus'!D15/tihedused!G15</f>
        <v>1.5397686425723809E-5</v>
      </c>
      <c r="E18" s="19">
        <f>'dünaamiline viskoossus'!E15/tihedused!H15</f>
        <v>1.7286966250233081E-5</v>
      </c>
      <c r="F18" s="19">
        <f>'dünaamiline viskoossus'!F15/tihedused!I15</f>
        <v>9.2807328605200953E-6</v>
      </c>
      <c r="G18" s="19">
        <f>'dünaamiline viskoossus'!G15/tihedused!J15</f>
        <v>1.740556416741454E-5</v>
      </c>
    </row>
    <row r="19" spans="2:7" x14ac:dyDescent="0.25">
      <c r="B19" s="19">
        <v>42</v>
      </c>
      <c r="C19" s="19">
        <f>'dünaamiline viskoossus'!C16/tihedused!F16</f>
        <v>6.3490413723511615E-7</v>
      </c>
      <c r="D19" s="19">
        <f>'dünaamiline viskoossus'!D16/tihedused!G16</f>
        <v>1.5486133875303218E-5</v>
      </c>
      <c r="E19" s="19">
        <f>'dünaamiline viskoossus'!E16/tihedused!H16</f>
        <v>1.7384960718294054E-5</v>
      </c>
      <c r="F19" s="19">
        <f>'dünaamiline viskoossus'!F16/tihedused!I16</f>
        <v>9.3394604209902164E-6</v>
      </c>
      <c r="G19" s="19">
        <f>'dünaamiline viskoossus'!G16/tihedused!J16</f>
        <v>1.7505320019643149E-5</v>
      </c>
    </row>
    <row r="20" spans="2:7" x14ac:dyDescent="0.25">
      <c r="B20" s="19">
        <v>43</v>
      </c>
      <c r="C20" s="19">
        <f>'dünaamiline viskoossus'!C17/tihedused!F17</f>
        <v>6.2343087790110999E-7</v>
      </c>
      <c r="D20" s="19">
        <f>'dünaamiline viskoossus'!D17/tihedused!G17</f>
        <v>1.5576821888976586E-5</v>
      </c>
      <c r="E20" s="19">
        <f>'dünaamiline viskoossus'!E17/tihedused!H17</f>
        <v>1.7482642146744232E-5</v>
      </c>
      <c r="F20" s="19">
        <f>'dünaamiline viskoossus'!F17/tihedused!I17</f>
        <v>9.3980132056391668E-6</v>
      </c>
      <c r="G20" s="19">
        <f>'dünaamiline viskoossus'!G17/tihedused!J17</f>
        <v>1.760571475490599E-5</v>
      </c>
    </row>
    <row r="21" spans="2:7" x14ac:dyDescent="0.25">
      <c r="B21" s="19">
        <v>44</v>
      </c>
      <c r="C21" s="19">
        <f>'dünaamiline viskoossus'!C18/tihedused!F18</f>
        <v>6.1290909090909096E-7</v>
      </c>
      <c r="D21" s="19">
        <f>'dünaamiline viskoossus'!D18/tihedused!G18</f>
        <v>1.5667062549485351E-5</v>
      </c>
      <c r="E21" s="19">
        <f>'dünaamiline viskoossus'!E18/tihedused!H18</f>
        <v>1.7580948795180722E-5</v>
      </c>
      <c r="F21" s="19">
        <f>'dünaamiline viskoossus'!F18/tihedused!I18</f>
        <v>9.4563790428452108E-6</v>
      </c>
      <c r="G21" s="19">
        <f>'dünaamiline viskoossus'!G18/tihedused!J18</f>
        <v>1.7705296104110043E-5</v>
      </c>
    </row>
    <row r="22" spans="2:7" x14ac:dyDescent="0.25">
      <c r="B22" s="19">
        <v>45</v>
      </c>
      <c r="C22" s="19">
        <f>'dünaamiline viskoossus'!C19/tihedused!F19</f>
        <v>6.0209090909090906E-7</v>
      </c>
      <c r="D22" s="19">
        <f>'dünaamiline viskoossus'!D19/tihedused!G19</f>
        <v>1.57578766216574E-5</v>
      </c>
      <c r="E22" s="19">
        <f>'dünaamiline viskoossus'!E19/tihedused!H19</f>
        <v>1.7678217354357473E-5</v>
      </c>
      <c r="F22" s="19">
        <f>'dünaamiline viskoossus'!F19/tihedused!I19</f>
        <v>9.5156848659003815E-6</v>
      </c>
      <c r="G22" s="19">
        <f>'dünaamiline viskoossus'!G19/tihedused!J19</f>
        <v>1.7806974053875391E-5</v>
      </c>
    </row>
    <row r="23" spans="2:7" x14ac:dyDescent="0.25">
      <c r="B23" s="19">
        <v>46</v>
      </c>
      <c r="C23" s="19">
        <f>'dünaamiline viskoossus'!C20/tihedused!F20</f>
        <v>5.9216380182002022E-7</v>
      </c>
      <c r="D23" s="19">
        <f>'dünaamiline viskoossus'!D20/tihedused!G20</f>
        <v>1.5847553283314522E-5</v>
      </c>
      <c r="E23" s="19">
        <f>'dünaamiline viskoossus'!E20/tihedused!H20</f>
        <v>1.7795775314956901E-5</v>
      </c>
      <c r="F23" s="19">
        <f>'dünaamiline viskoossus'!F20/tihedused!I20</f>
        <v>9.5748003122935584E-6</v>
      </c>
      <c r="G23" s="19">
        <f>'dünaamiline viskoossus'!G20/tihedused!J20</f>
        <v>1.790699602122016E-5</v>
      </c>
    </row>
    <row r="24" spans="2:7" x14ac:dyDescent="0.25">
      <c r="B24" s="19">
        <v>47</v>
      </c>
      <c r="C24" s="19">
        <f>'dünaamiline viskoossus'!C21/tihedused!F21</f>
        <v>5.8194135490394337E-7</v>
      </c>
      <c r="D24" s="19">
        <f>'dünaamiline viskoossus'!D21/tihedused!G21</f>
        <v>1.5938457439722923E-5</v>
      </c>
      <c r="E24" s="19">
        <f>'dünaamiline viskoossus'!E21/tihedused!H21</f>
        <v>1.78753325731661E-5</v>
      </c>
      <c r="F24" s="19">
        <f>'dünaamiline viskoossus'!F21/tihedused!I21</f>
        <v>9.6342932883479938E-6</v>
      </c>
      <c r="G24" s="19">
        <f>'dünaamiline viskoossus'!G21/tihedused!J21</f>
        <v>1.8006984285357944E-5</v>
      </c>
    </row>
    <row r="25" spans="2:7" x14ac:dyDescent="0.25">
      <c r="B25" s="19">
        <v>48</v>
      </c>
      <c r="C25" s="19">
        <f>'dünaamiline viskoossus'!C22/tihedused!F22</f>
        <v>5.7200202224469174E-7</v>
      </c>
      <c r="D25" s="19">
        <f>'dünaamiline viskoossus'!D22/tihedused!G22</f>
        <v>1.6029264381639609E-5</v>
      </c>
      <c r="E25" s="19">
        <f>'dünaamiline viskoossus'!E22/tihedused!H22</f>
        <v>1.7974454294156897E-5</v>
      </c>
      <c r="F25" s="19">
        <f>'dünaamiline viskoossus'!F22/tihedused!I22</f>
        <v>9.6929771545992988E-6</v>
      </c>
      <c r="G25" s="19">
        <f>'dünaamiline viskoossus'!G22/tihedused!J22</f>
        <v>1.810910000834098E-5</v>
      </c>
    </row>
    <row r="26" spans="2:7" x14ac:dyDescent="0.25">
      <c r="B26" s="19">
        <v>49</v>
      </c>
      <c r="C26" s="19">
        <f>'dünaamiline viskoossus'!C23/tihedused!F23</f>
        <v>5.6290485829959522E-7</v>
      </c>
      <c r="D26" s="19">
        <f>'dünaamiline viskoossus'!D23/tihedused!G23</f>
        <v>1.6121313672922252E-5</v>
      </c>
      <c r="E26" s="19">
        <f>'dünaamiline viskoossus'!E23/tihedused!H23</f>
        <v>1.8072473467826756E-5</v>
      </c>
      <c r="F26" s="19">
        <f>'dünaamiline viskoossus'!F23/tihedused!I23</f>
        <v>9.7526373226627881E-6</v>
      </c>
      <c r="G26" s="19">
        <f>'dünaamiline viskoossus'!G23/tihedused!J23</f>
        <v>1.8209504685408304E-5</v>
      </c>
    </row>
    <row r="27" spans="2:7" x14ac:dyDescent="0.25">
      <c r="B27" s="19">
        <v>50</v>
      </c>
      <c r="C27" s="19">
        <f>'dünaamiline viskoossus'!C24/tihedused!F24</f>
        <v>5.5349190283400805E-7</v>
      </c>
      <c r="D27" s="19">
        <f>'dünaamiline viskoossus'!D24/tihedused!G24</f>
        <v>1.6212182331585316E-5</v>
      </c>
      <c r="E27" s="19">
        <f>'dünaamiline viskoossus'!E24/tihedused!H24</f>
        <v>1.8171877997314409E-5</v>
      </c>
      <c r="F27" s="19">
        <f>'dünaamiline viskoossus'!F24/tihedused!I24</f>
        <v>9.8126748570733478E-6</v>
      </c>
      <c r="G27" s="19">
        <f>'dünaamiline viskoossus'!G24/tihedused!J24</f>
        <v>1.8311372219890894E-5</v>
      </c>
    </row>
    <row r="28" spans="2:7" x14ac:dyDescent="0.25">
      <c r="B28" s="19">
        <v>55</v>
      </c>
      <c r="C28" s="19">
        <f>'dünaamiline viskoossus'!C25/tihedused!F25</f>
        <v>5.112966551349816E-7</v>
      </c>
      <c r="D28" s="19">
        <f>'dünaamiline viskoossus'!D25/tihedused!G25</f>
        <v>1.6671673380214382E-5</v>
      </c>
      <c r="E28" s="19">
        <f>'dünaamiline viskoossus'!E25/tihedused!H25</f>
        <v>1.8670497711113275E-5</v>
      </c>
      <c r="F28" s="19">
        <f>'dünaamiline viskoossus'!F25/tihedused!I25</f>
        <v>1.0113039718327258E-5</v>
      </c>
      <c r="G28" s="19">
        <f>'dünaamiline viskoossus'!G25/tihedused!J25</f>
        <v>1.8822977925509248E-5</v>
      </c>
    </row>
    <row r="29" spans="2:7" x14ac:dyDescent="0.25">
      <c r="B29" s="19">
        <v>60</v>
      </c>
      <c r="C29" s="19">
        <f>'dünaamiline viskoossus'!C26/tihedused!F26</f>
        <v>4.7436940602115538E-7</v>
      </c>
      <c r="D29" s="19">
        <f>'dünaamiline viskoossus'!D26/tihedused!G26</f>
        <v>1.7136618839675606E-5</v>
      </c>
      <c r="E29" s="19">
        <f>'dünaamiline viskoossus'!E26/tihedused!H26</f>
        <v>1.9173341243943436E-5</v>
      </c>
      <c r="F29" s="19">
        <f>'dünaamiline viskoossus'!F26/tihedused!I26</f>
        <v>1.0417738192310104E-5</v>
      </c>
      <c r="G29" s="19">
        <f>'dünaamiline viskoossus'!G26/tihedused!J26</f>
        <v>1.934060228452752E-5</v>
      </c>
    </row>
    <row r="30" spans="2:7" x14ac:dyDescent="0.25">
      <c r="B30" s="19">
        <v>65</v>
      </c>
      <c r="C30" s="19">
        <f>'dünaamiline viskoossus'!C27/tihedused!F27</f>
        <v>4.4185406149609911E-7</v>
      </c>
      <c r="D30" s="19">
        <f>'dünaamiline viskoossus'!D27/tihedused!G27</f>
        <v>1.7607120242031941E-5</v>
      </c>
      <c r="E30" s="19">
        <f>'dünaamiline viskoossus'!E27/tihedused!H27</f>
        <v>1.9681625196976844E-5</v>
      </c>
      <c r="F30" s="19">
        <f>'dünaamiline viskoossus'!F27/tihedused!I27</f>
        <v>1.0725883476599808E-5</v>
      </c>
      <c r="G30" s="19">
        <f>'dünaamiline viskoossus'!G27/tihedused!J27</f>
        <v>1.9862099253403599E-5</v>
      </c>
    </row>
    <row r="31" spans="2:7" x14ac:dyDescent="0.25">
      <c r="B31" s="19">
        <v>70</v>
      </c>
      <c r="C31" s="19">
        <f>'dünaamiline viskoossus'!C28/tihedused!F28</f>
        <v>4.1307682866961218E-7</v>
      </c>
      <c r="D31" s="19">
        <f>'dünaamiline viskoossus'!D28/tihedused!G28</f>
        <v>1.8083541592288469E-5</v>
      </c>
      <c r="E31" s="19">
        <f>'dünaamiline viskoossus'!E28/tihedused!H28</f>
        <v>2.0195157725332814E-5</v>
      </c>
      <c r="F31" s="19">
        <f>'dünaamiline viskoossus'!F28/tihedused!I28</f>
        <v>1.1039229625799782E-5</v>
      </c>
      <c r="G31" s="19">
        <f>'dünaamiline viskoossus'!G28/tihedused!J28</f>
        <v>2.0389517782333543E-5</v>
      </c>
    </row>
    <row r="32" spans="2:7" x14ac:dyDescent="0.25">
      <c r="B32" s="19">
        <v>75</v>
      </c>
      <c r="C32" s="19">
        <f>'dünaamiline viskoossus'!C29/tihedused!F29</f>
        <v>3.8748922900168231E-7</v>
      </c>
      <c r="D32" s="19">
        <f>'dünaamiline viskoossus'!D29/tihedused!G29</f>
        <v>1.8562735439003187E-5</v>
      </c>
      <c r="E32" s="19">
        <f>'dünaamiline viskoossus'!E29/tihedused!H29</f>
        <v>2.0714315241205409E-5</v>
      </c>
      <c r="F32" s="19">
        <f>'dünaamiline viskoossus'!F29/tihedused!I29</f>
        <v>1.135484294052069E-5</v>
      </c>
      <c r="G32" s="19">
        <f>'dünaamiline viskoossus'!G29/tihedused!J29</f>
        <v>2.0923396943112964E-5</v>
      </c>
    </row>
    <row r="33" spans="2:7" x14ac:dyDescent="0.25">
      <c r="B33" s="19">
        <v>80</v>
      </c>
      <c r="C33" s="19">
        <f>'dünaamiline viskoossus'!C30/tihedused!F30</f>
        <v>3.6463639263626918E-7</v>
      </c>
      <c r="D33" s="19">
        <f>'dünaamiline viskoossus'!D30/tihedused!G30</f>
        <v>1.9048353909465022E-5</v>
      </c>
      <c r="E33" s="19">
        <f>'dünaamiline viskoossus'!E30/tihedused!H30</f>
        <v>2.1238678295873867E-5</v>
      </c>
      <c r="F33" s="19">
        <f>'dünaamiline viskoossus'!F30/tihedused!I30</f>
        <v>1.1675204577207106E-5</v>
      </c>
      <c r="G33" s="19">
        <f>'dünaamiline viskoossus'!G30/tihedused!J30</f>
        <v>2.1462385321100916E-5</v>
      </c>
    </row>
    <row r="34" spans="2:7" x14ac:dyDescent="0.25">
      <c r="B34" s="19">
        <v>85</v>
      </c>
      <c r="C34" s="19">
        <f>'dünaamiline viskoossus'!C31/tihedused!F31</f>
        <v>3.4414263738759666E-7</v>
      </c>
      <c r="D34" s="19">
        <f>'dünaamiline viskoossus'!D31/tihedused!G31</f>
        <v>1.9537934118348488E-5</v>
      </c>
      <c r="E34" s="19">
        <f>'dünaamiline viskoossus'!E31/tihedused!H31</f>
        <v>2.1767188679445881E-5</v>
      </c>
      <c r="F34" s="19">
        <f>'dünaamiline viskoossus'!F31/tihedused!I31</f>
        <v>1.1999460152506917E-5</v>
      </c>
      <c r="G34" s="19">
        <f>'dünaamiline viskoossus'!G31/tihedused!J31</f>
        <v>2.2005954596203947E-5</v>
      </c>
    </row>
    <row r="35" spans="2:7" x14ac:dyDescent="0.25">
      <c r="B35" s="19">
        <v>90</v>
      </c>
      <c r="C35" s="19">
        <f>'dünaamiline viskoossus'!C32/tihedused!F32</f>
        <v>3.2570883964736716E-7</v>
      </c>
      <c r="D35" s="19">
        <f>'dünaamiline viskoossus'!D32/tihedused!G32</f>
        <v>2.0033250207813798E-5</v>
      </c>
      <c r="E35" s="19">
        <f>'dünaamiline viskoossus'!E32/tihedused!H32</f>
        <v>2.2300079774045408E-5</v>
      </c>
      <c r="F35" s="19">
        <f>'dünaamiline viskoossus'!F32/tihedused!I32</f>
        <v>1.2327379730377062E-5</v>
      </c>
      <c r="G35" s="19">
        <f>'dünaamiline viskoossus'!G32/tihedused!J32</f>
        <v>2.1789622641509431E-5</v>
      </c>
    </row>
    <row r="36" spans="2:7" x14ac:dyDescent="0.25">
      <c r="B36" s="19">
        <v>95</v>
      </c>
      <c r="C36" s="19">
        <f>'dünaamiline viskoossus'!C33/tihedused!F33</f>
        <v>3.0905820831903861E-7</v>
      </c>
      <c r="D36" s="19">
        <f>'dünaamiline viskoossus'!D33/tihedused!G33</f>
        <v>2.0533210756148012E-5</v>
      </c>
      <c r="E36" s="19">
        <f>'dünaamiline viskoossus'!E33/tihedused!H33</f>
        <v>2.2839094654703227E-5</v>
      </c>
      <c r="F36" s="19">
        <f>'dünaamiline viskoossus'!F33/tihedused!I33</f>
        <v>1.2658710886005689E-5</v>
      </c>
      <c r="G36" s="19">
        <f>'dünaamiline viskoossus'!G33/tihedused!J33</f>
        <v>2.3076040172166426E-5</v>
      </c>
    </row>
    <row r="37" spans="2:7" x14ac:dyDescent="0.25">
      <c r="B37" s="19">
        <v>100</v>
      </c>
      <c r="C37" s="19">
        <f>'dünaamiline viskoossus'!C34/tihedused!F34</f>
        <v>2.0784632584612259E-5</v>
      </c>
      <c r="D37" s="19">
        <f>'dünaamiline viskoossus'!D34/tihedused!G34</f>
        <v>2.1039838471693717E-5</v>
      </c>
      <c r="E37" s="19">
        <f>'dünaamiline viskoossus'!E34/tihedused!H34</f>
        <v>2.3382406699677642E-5</v>
      </c>
      <c r="F37" s="19">
        <f>'dünaamiline viskoossus'!F34/tihedused!I34</f>
        <v>1.299409199606133E-5</v>
      </c>
      <c r="G37" s="19">
        <f>'dünaamiline viskoossus'!G34/tihedused!J34</f>
        <v>2.3669413475521084E-5</v>
      </c>
    </row>
    <row r="38" spans="2:7" x14ac:dyDescent="0.25">
      <c r="B38" s="19">
        <v>105</v>
      </c>
      <c r="C38" s="19">
        <f>'dünaamiline viskoossus'!C35/tihedused!F35</f>
        <v>2.1430660450393105E-5</v>
      </c>
      <c r="D38" s="19">
        <f>'dünaamiline viskoossus'!D35/tihedused!G35</f>
        <v>2.154875265601637E-5</v>
      </c>
      <c r="E38" s="19">
        <f>'dünaamiline viskoossus'!E35/tihedused!H35</f>
        <v>2.393071240934911E-5</v>
      </c>
      <c r="F38" s="19">
        <f>'dünaamiline viskoossus'!F35/tihedused!I35</f>
        <v>1.3332382921092023E-5</v>
      </c>
      <c r="G38" s="19">
        <f>'dünaamiline viskoossus'!G35/tihedused!J35</f>
        <v>2.4234623698172527E-5</v>
      </c>
    </row>
    <row r="39" spans="2:7" x14ac:dyDescent="0.25">
      <c r="B39" s="19">
        <v>110</v>
      </c>
      <c r="C39" s="19">
        <f>'dünaamiline viskoossus'!C36/tihedused!F36</f>
        <v>2.2060542615371193E-5</v>
      </c>
      <c r="D39" s="19">
        <f>'dünaamiline viskoossus'!D36/tihedused!G36</f>
        <v>2.2062833904792282E-5</v>
      </c>
      <c r="E39" s="19">
        <f>'dünaamiline viskoossus'!E36/tihedused!H36</f>
        <v>2.4484154969629412E-5</v>
      </c>
      <c r="F39" s="19">
        <f>'dünaamiline viskoossus'!F36/tihedused!I36</f>
        <v>1.3675960704998554E-5</v>
      </c>
      <c r="G39" s="19">
        <f>'dünaamiline viskoossus'!G36/tihedused!J36</f>
        <v>2.4804380288700847E-5</v>
      </c>
    </row>
    <row r="40" spans="2:7" x14ac:dyDescent="0.25">
      <c r="B40" s="19">
        <v>115</v>
      </c>
      <c r="C40" s="19">
        <f>'dünaamiline viskoossus'!C37/tihedused!F37</f>
        <v>2.2701622176228132E-5</v>
      </c>
      <c r="D40" s="19">
        <f>'dünaamiline viskoossus'!D37/tihedused!G37</f>
        <v>2.2582599563777364E-5</v>
      </c>
      <c r="E40" s="19">
        <f>'dünaamiline viskoossus'!E37/tihedused!H37</f>
        <v>2.5042347979396415E-5</v>
      </c>
      <c r="F40" s="19">
        <f>'dünaamiline viskoossus'!F37/tihedused!I37</f>
        <v>1.4022248243559718E-5</v>
      </c>
      <c r="G40" s="19">
        <f>'dünaamiline viskoossus'!G37/tihedused!J37</f>
        <v>2.5378432618320074E-5</v>
      </c>
    </row>
    <row r="41" spans="2:7" x14ac:dyDescent="0.25">
      <c r="B41" s="19">
        <v>120</v>
      </c>
      <c r="C41" s="19">
        <f>'dünaamiline viskoossus'!C38/tihedused!F38</f>
        <v>2.335252030770886E-5</v>
      </c>
      <c r="D41" s="19">
        <f>'dünaamiline viskoossus'!D38/tihedused!G38</f>
        <v>2.3107765321986744E-5</v>
      </c>
      <c r="E41" s="19">
        <f>'dünaamiline viskoossus'!E38/tihedused!H38</f>
        <v>2.5604603389513983E-5</v>
      </c>
      <c r="F41" s="19">
        <f>'dünaamiline viskoossus'!F38/tihedused!I38</f>
        <v>1.4372451627251834E-5</v>
      </c>
      <c r="G41" s="19">
        <f>'dünaamiline viskoossus'!G38/tihedused!J38</f>
        <v>2.5958159679660046E-5</v>
      </c>
    </row>
    <row r="42" spans="2:7" x14ac:dyDescent="0.25">
      <c r="B42" s="19">
        <v>125</v>
      </c>
      <c r="C42" s="19">
        <f>'dünaamiline viskoossus'!C39/tihedused!F39</f>
        <v>2.4013229628552737E-5</v>
      </c>
      <c r="D42" s="19">
        <f>'dünaamiline viskoossus'!D39/tihedused!G39</f>
        <v>2.3635233675836923E-5</v>
      </c>
      <c r="E42" s="19">
        <f>'dünaamiline viskoossus'!E39/tihedused!H39</f>
        <v>2.617170415725954E-5</v>
      </c>
      <c r="F42" s="19">
        <f>'dünaamiline viskoossus'!F39/tihedused!I39</f>
        <v>1.4725579998498385E-5</v>
      </c>
      <c r="G42" s="19">
        <f>'dünaamiline viskoossus'!G39/tihedused!J39</f>
        <v>2.654321626234935E-5</v>
      </c>
    </row>
    <row r="43" spans="2:7" x14ac:dyDescent="0.25">
      <c r="B43" s="19">
        <v>130</v>
      </c>
      <c r="C43" s="19">
        <f>'dünaamiline viskoossus'!C40/tihedused!F40</f>
        <v>2.4683765719651637E-5</v>
      </c>
      <c r="D43" s="19">
        <f>'dünaamiline viskoossus'!D40/tihedused!G40</f>
        <v>2.4168484645074679E-5</v>
      </c>
      <c r="E43" s="19">
        <f>'dünaamiline viskoossus'!E40/tihedused!H40</f>
        <v>2.6743587595303358E-5</v>
      </c>
      <c r="F43" s="19">
        <f>'dünaamiline viskoossus'!F40/tihedused!I40</f>
        <v>1.5081730403710181E-5</v>
      </c>
      <c r="G43" s="19">
        <f>'dünaamiline viskoossus'!G40/tihedused!J40</f>
        <v>2.7133504425705754E-5</v>
      </c>
    </row>
    <row r="44" spans="2:7" x14ac:dyDescent="0.25">
      <c r="B44" s="19">
        <v>135</v>
      </c>
      <c r="C44" s="19">
        <f>'dünaamiline viskoossus'!C41/tihedused!F41</f>
        <v>2.5364643563248408E-5</v>
      </c>
      <c r="D44" s="19">
        <f>'dünaamiline viskoossus'!D41/tihedused!G41</f>
        <v>2.4706082229018008E-5</v>
      </c>
      <c r="E44" s="19">
        <f>'dünaamiline viskoossus'!E41/tihedused!H41</f>
        <v>2.7320205998182368E-5</v>
      </c>
      <c r="F44" s="19">
        <f>'dünaamiline viskoossus'!F41/tihedused!I41</f>
        <v>1.5443418013856813E-5</v>
      </c>
      <c r="G44" s="19">
        <f>'dünaamiline viskoossus'!G41/tihedused!J41</f>
        <v>2.7729229855558146E-5</v>
      </c>
    </row>
    <row r="45" spans="2:7" x14ac:dyDescent="0.25">
      <c r="B45" s="19">
        <v>140</v>
      </c>
      <c r="C45" s="19">
        <f>'dünaamiline viskoossus'!C42/tihedused!F42</f>
        <v>2.6055992141453829E-5</v>
      </c>
      <c r="D45" s="19">
        <f>'dünaamiline viskoossus'!D42/tihedused!G42</f>
        <v>2.5249806518187289E-5</v>
      </c>
      <c r="E45" s="19">
        <f>'dünaamiline viskoossus'!E42/tihedused!H42</f>
        <v>2.7901870591842994E-5</v>
      </c>
      <c r="F45" s="19">
        <f>'dünaamiline viskoossus'!F42/tihedused!I42</f>
        <v>1.5807356608478806E-5</v>
      </c>
      <c r="G45" s="19">
        <f>'dünaamiline viskoossus'!G42/tihedused!J42</f>
        <v>2.8329271827462939E-5</v>
      </c>
    </row>
    <row r="46" spans="2:7" x14ac:dyDescent="0.25">
      <c r="B46" s="19">
        <v>145</v>
      </c>
      <c r="C46" s="19">
        <f>'dünaamiline viskoossus'!C43/tihedused!F43</f>
        <v>2.6755552154867344E-5</v>
      </c>
      <c r="D46" s="19">
        <f>'dünaamiline viskoossus'!D43/tihedused!G43</f>
        <v>2.5796344647519584E-5</v>
      </c>
      <c r="E46" s="19">
        <f>'dünaamiline viskoossus'!E43/tihedused!H43</f>
        <v>2.8487895716945995E-5</v>
      </c>
      <c r="F46" s="19">
        <f>'dünaamiline viskoossus'!F43/tihedused!I43</f>
        <v>1.6175264237261395E-5</v>
      </c>
      <c r="G46" s="19">
        <f>'dünaamiline viskoossus'!G43/tihedused!J43</f>
        <v>2.8934330044765095E-5</v>
      </c>
    </row>
    <row r="47" spans="2:7" x14ac:dyDescent="0.25">
      <c r="B47" s="19">
        <v>150</v>
      </c>
      <c r="C47" s="19">
        <f>'dünaamiline viskoossus'!C44/tihedused!F44</f>
        <v>2.7467270896273915E-5</v>
      </c>
      <c r="D47" s="19">
        <f>'dünaamiline viskoossus'!D44/tihedused!G44</f>
        <v>2.6348423463096707E-5</v>
      </c>
      <c r="E47" s="19">
        <f>'dünaamiline viskoossus'!E44/tihedused!H44</f>
        <v>2.907898538889657E-5</v>
      </c>
      <c r="F47" s="19">
        <f>'dünaamiline viskoossus'!F44/tihedused!I44</f>
        <v>1.6546659216093239E-5</v>
      </c>
      <c r="G47" s="19">
        <f>'dünaamiline viskoossus'!G44/tihedused!J44</f>
        <v>2.954358032700364E-5</v>
      </c>
    </row>
    <row r="48" spans="2:7" x14ac:dyDescent="0.25">
      <c r="B48" s="19">
        <f>5+B47</f>
        <v>155</v>
      </c>
      <c r="C48" s="19">
        <f>'dünaamiline viskoossus'!C45/tihedused!F45</f>
        <v>2.8188037874184002E-5</v>
      </c>
      <c r="D48" s="19">
        <f>'dünaamiline viskoossus'!D45/tihedused!G45</f>
        <v>2.6905801621958826E-5</v>
      </c>
      <c r="E48" s="19">
        <f>'dünaamiline viskoossus'!E45/tihedused!H45</f>
        <v>2.967445053198927E-5</v>
      </c>
      <c r="F48" s="19">
        <f>'dünaamiline viskoossus'!F45/tihedused!I45</f>
        <v>1.6920840064620355E-5</v>
      </c>
      <c r="G48" s="19">
        <f>'dünaamiline viskoossus'!G45/tihedused!J45</f>
        <v>3.0158871434293088E-5</v>
      </c>
    </row>
    <row r="49" spans="2:7" x14ac:dyDescent="0.25">
      <c r="B49" s="19">
        <f t="shared" ref="B49:B56" si="1">5+B48</f>
        <v>160</v>
      </c>
      <c r="C49" s="19">
        <f>'dünaamiline viskoossus'!C46/tihedused!F46</f>
        <v>2.8919487321931671E-5</v>
      </c>
      <c r="D49" s="19">
        <f>'dünaamiline viskoossus'!D46/tihedused!G46</f>
        <v>2.7464839523981247E-5</v>
      </c>
      <c r="E49" s="19">
        <f>'dünaamiline viskoossus'!E46/tihedused!H46</f>
        <v>3.027341238200571E-5</v>
      </c>
      <c r="F49" s="19">
        <f>'dünaamiline viskoossus'!F46/tihedused!I46</f>
        <v>1.7298357440549154E-5</v>
      </c>
      <c r="G49" s="19">
        <f>'dünaamiline viskoossus'!G46/tihedused!J46</f>
        <v>3.0777975373117526E-5</v>
      </c>
    </row>
    <row r="50" spans="2:7" x14ac:dyDescent="0.25">
      <c r="B50" s="19">
        <f t="shared" si="1"/>
        <v>165</v>
      </c>
      <c r="C50" s="19">
        <f>'dünaamiline viskoossus'!C47/tihedused!F47</f>
        <v>2.9661901702537743E-5</v>
      </c>
      <c r="D50" s="19">
        <f>'dünaamiline viskoossus'!D47/tihedused!G47</f>
        <v>2.8031007751937984E-5</v>
      </c>
      <c r="E50" s="19">
        <f>'dünaamiline viskoossus'!E47/tihedused!H47</f>
        <v>3.0878105893066212E-5</v>
      </c>
      <c r="F50" s="19">
        <f>'dünaamiline viskoossus'!F47/tihedused!I47</f>
        <v>1.7680224867724867E-5</v>
      </c>
      <c r="G50" s="19">
        <f>'dünaamiline viskoossus'!G47/tihedused!J47</f>
        <v>3.1402352244651655E-5</v>
      </c>
    </row>
    <row r="51" spans="2:7" x14ac:dyDescent="0.25">
      <c r="B51" s="19">
        <f t="shared" si="1"/>
        <v>170</v>
      </c>
      <c r="C51" s="19">
        <f>'dünaamiline viskoossus'!C48/tihedused!F48</f>
        <v>3.0414999289036949E-5</v>
      </c>
      <c r="D51" s="19">
        <f>'dünaamiline viskoossus'!D48/tihedused!G48</f>
        <v>2.8601605017987271E-5</v>
      </c>
      <c r="E51" s="19">
        <f>'dünaamiline viskoossus'!E48/tihedused!H48</f>
        <v>3.1486914990197755E-5</v>
      </c>
      <c r="F51" s="19">
        <f>'dünaamiline viskoossus'!F48/tihedused!I48</f>
        <v>1.8065055606656074E-5</v>
      </c>
      <c r="G51" s="19">
        <f>'dünaamiline viskoossus'!G48/tihedused!J48</f>
        <v>3.2031690830156954E-5</v>
      </c>
    </row>
    <row r="52" spans="2:7" x14ac:dyDescent="0.25">
      <c r="B52" s="19">
        <f t="shared" si="1"/>
        <v>175</v>
      </c>
      <c r="C52" s="19">
        <f>'dünaamiline viskoossus'!C49/tihedused!F49</f>
        <v>3.1177050797303961E-5</v>
      </c>
      <c r="D52" s="19">
        <f>'dünaamiline viskoossus'!D49/tihedused!G49</f>
        <v>2.9175373134328354E-5</v>
      </c>
      <c r="E52" s="19">
        <f>'dünaamiline viskoossus'!E49/tihedused!H49</f>
        <v>3.2099422519094126E-5</v>
      </c>
      <c r="F52" s="19">
        <f>'dünaamiline viskoossus'!F49/tihedused!I49</f>
        <v>1.8453276955602536E-5</v>
      </c>
      <c r="G52" s="19">
        <f>'dünaamiline viskoossus'!G49/tihedused!J49</f>
        <v>3.2666037801767815E-5</v>
      </c>
    </row>
    <row r="53" spans="2:7" x14ac:dyDescent="0.25">
      <c r="B53" s="19">
        <f t="shared" si="1"/>
        <v>180</v>
      </c>
      <c r="C53" s="19">
        <f>'dünaamiline viskoossus'!C50/tihedused!F50</f>
        <v>3.1949784881424978E-5</v>
      </c>
      <c r="D53" s="19">
        <f>'dünaamiline viskoossus'!D50/tihedused!G50</f>
        <v>2.9753820033955854E-5</v>
      </c>
      <c r="E53" s="19">
        <f>'dünaamiline viskoossus'!E50/tihedused!H50</f>
        <v>3.2717120753447699E-5</v>
      </c>
      <c r="F53" s="19">
        <f>'dünaamiline viskoossus'!F50/tihedused!I50</f>
        <v>1.8844706687190013E-5</v>
      </c>
      <c r="G53" s="19">
        <f>'dünaamiline viskoossus'!G50/tihedused!J50</f>
        <v>3.3305071772588639E-5</v>
      </c>
    </row>
    <row r="54" spans="2:7" x14ac:dyDescent="0.25">
      <c r="B54" s="19">
        <f t="shared" si="1"/>
        <v>185</v>
      </c>
      <c r="C54" s="19">
        <f>'dünaamiline viskoossus'!C51/tihedused!F51</f>
        <v>3.2732164627737838E-5</v>
      </c>
      <c r="D54" s="19">
        <f>'dünaamiline viskoossus'!D51/tihedused!G51</f>
        <v>3.0336639328628645E-5</v>
      </c>
      <c r="E54" s="19">
        <f>'dünaamiline viskoossus'!E51/tihedused!H51</f>
        <v>3.3339681416892252E-5</v>
      </c>
      <c r="F54" s="19">
        <f>'dünaamiline viskoossus'!F51/tihedused!I51</f>
        <v>1.9028561655549853E-5</v>
      </c>
      <c r="G54" s="19">
        <f>'dünaamiline viskoossus'!G51/tihedused!J51</f>
        <v>3.394806710082983E-5</v>
      </c>
    </row>
    <row r="55" spans="2:7" x14ac:dyDescent="0.25">
      <c r="B55" s="19">
        <f>5+B54</f>
        <v>190</v>
      </c>
      <c r="C55" s="19">
        <f>'dünaamiline viskoossus'!C52/tihedused!F52</f>
        <v>3.3525335827240265E-5</v>
      </c>
      <c r="D55" s="19">
        <f>'dünaamiline viskoossus'!D52/tihedused!G52</f>
        <v>3.0923551528005397E-5</v>
      </c>
      <c r="E55" s="19">
        <f>'dünaamiline viskoossus'!E52/tihedused!H52</f>
        <v>3.3966363673867903E-5</v>
      </c>
      <c r="F55" s="19">
        <f>'dünaamiline viskoossus'!F52/tihedused!I52</f>
        <v>1.9424174303994465E-5</v>
      </c>
      <c r="G55" s="19">
        <f>'dünaamiline viskoossus'!G52/tihedused!J52</f>
        <v>3.4595479382808172E-5</v>
      </c>
    </row>
    <row r="56" spans="2:7" x14ac:dyDescent="0.25">
      <c r="B56" s="19">
        <f t="shared" si="1"/>
        <v>195</v>
      </c>
      <c r="C56" s="19">
        <f>'dünaamiline viskoossus'!C53/tihedused!F53</f>
        <v>3.432973739631237E-5</v>
      </c>
      <c r="D56" s="19">
        <f>'dünaamiline viskoossus'!D53/tihedused!G53</f>
        <v>3.1516273630871177E-5</v>
      </c>
      <c r="E56" s="19">
        <f>'dünaamiline viskoossus'!E53/tihedused!H53</f>
        <v>3.4595924494731871E-5</v>
      </c>
      <c r="F56" s="19">
        <f>'dünaamiline viskoossus'!F53/tihedused!I53</f>
        <v>2.0037992578194029E-5</v>
      </c>
      <c r="G56" s="19">
        <f>'dünaamiline viskoossus'!G53/tihedused!J53</f>
        <v>3.5249032823183042E-5</v>
      </c>
    </row>
    <row r="57" spans="2:7" x14ac:dyDescent="0.25">
      <c r="B57" s="19">
        <f>5+B56</f>
        <v>200</v>
      </c>
      <c r="C57" s="19">
        <f>'dünaamiline viskoossus'!C54/tihedused!F54</f>
        <v>3.5143707501466408E-5</v>
      </c>
      <c r="D57" s="19">
        <f>'dünaamiline viskoossus'!D54/tihedused!G54</f>
        <v>3.2113660986900416E-5</v>
      </c>
      <c r="E57" s="19">
        <f>'dünaamiline viskoossus'!E54/tihedused!H54</f>
        <v>3.5231311726443854E-5</v>
      </c>
      <c r="F57" s="19">
        <f>'dünaamiline viskoossus'!F54/tihedused!I54</f>
        <v>2.0442043222003933E-5</v>
      </c>
      <c r="G57" s="19">
        <f>'dünaamiline viskoossus'!G54/tihedused!J54</f>
        <v>3.5906011385852525E-5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B2:I54"/>
  <sheetViews>
    <sheetView workbookViewId="0">
      <selection activeCell="H3" sqref="H3:H26"/>
    </sheetView>
  </sheetViews>
  <sheetFormatPr defaultRowHeight="15" x14ac:dyDescent="0.25"/>
  <cols>
    <col min="1" max="1" width="8.796875" style="19"/>
    <col min="2" max="2" width="11.8984375" style="19" customWidth="1"/>
    <col min="3" max="3" width="19.5" style="19" bestFit="1" customWidth="1"/>
    <col min="4" max="4" width="12" style="19" customWidth="1"/>
    <col min="5" max="5" width="19.5" style="19" bestFit="1" customWidth="1"/>
    <col min="6" max="6" width="14.69921875" style="19" customWidth="1"/>
    <col min="7" max="7" width="19.5" style="19" bestFit="1" customWidth="1"/>
    <col min="8" max="16384" width="8.796875" style="19"/>
  </cols>
  <sheetData>
    <row r="2" spans="2:9" x14ac:dyDescent="0.25">
      <c r="B2" s="38"/>
      <c r="C2" s="38" t="s">
        <v>70</v>
      </c>
      <c r="D2" s="19" t="s">
        <v>134</v>
      </c>
      <c r="E2" s="19" t="s">
        <v>110</v>
      </c>
      <c r="F2" s="19" t="s">
        <v>109</v>
      </c>
      <c r="G2" s="19" t="s">
        <v>108</v>
      </c>
    </row>
    <row r="3" spans="2:9" x14ac:dyDescent="0.25">
      <c r="B3" s="19" t="s">
        <v>63</v>
      </c>
      <c r="C3" s="19" t="s">
        <v>100</v>
      </c>
      <c r="D3" s="19" t="s">
        <v>100</v>
      </c>
      <c r="E3" s="19" t="s">
        <v>100</v>
      </c>
      <c r="F3" s="19" t="s">
        <v>100</v>
      </c>
      <c r="G3" s="19" t="s">
        <v>100</v>
      </c>
      <c r="I3" s="38"/>
    </row>
    <row r="4" spans="2:9" x14ac:dyDescent="0.25">
      <c r="B4" s="19">
        <v>30</v>
      </c>
      <c r="C4" s="19">
        <v>7.9734999999999995E-4</v>
      </c>
      <c r="D4" s="110">
        <v>2.2874000000000002E-5</v>
      </c>
      <c r="E4" s="110">
        <v>1.8042000000000001E-5</v>
      </c>
      <c r="F4" s="110">
        <v>1.5174000000000001E-5</v>
      </c>
      <c r="G4" s="110">
        <v>2.0733999999999998E-5</v>
      </c>
      <c r="I4" s="109"/>
    </row>
    <row r="5" spans="2:9" x14ac:dyDescent="0.25">
      <c r="B5" s="19">
        <v>31</v>
      </c>
      <c r="C5" s="19">
        <v>7.8067000000000002E-4</v>
      </c>
      <c r="D5" s="110">
        <v>2.2937000000000001E-5</v>
      </c>
      <c r="E5" s="110">
        <v>1.8088E-5</v>
      </c>
      <c r="F5" s="110">
        <v>1.5222000000000001E-5</v>
      </c>
      <c r="G5" s="110">
        <v>2.0789E-5</v>
      </c>
      <c r="I5" s="109"/>
    </row>
    <row r="6" spans="2:9" x14ac:dyDescent="0.25">
      <c r="B6" s="19">
        <v>32</v>
      </c>
      <c r="C6" s="19">
        <v>7.6456000000000007E-4</v>
      </c>
      <c r="D6" s="110">
        <v>2.2999000000000001E-5</v>
      </c>
      <c r="E6" s="110">
        <v>1.8133000000000001E-5</v>
      </c>
      <c r="F6" s="110">
        <v>1.5270000000000001E-5</v>
      </c>
      <c r="G6" s="110">
        <v>2.0844000000000002E-5</v>
      </c>
      <c r="I6" s="109"/>
    </row>
    <row r="7" spans="2:9" x14ac:dyDescent="0.25">
      <c r="B7" s="19">
        <v>33</v>
      </c>
      <c r="C7" s="19">
        <v>7.4898E-4</v>
      </c>
      <c r="D7" s="110">
        <v>2.3062000000000004E-5</v>
      </c>
      <c r="E7" s="110">
        <v>1.8179000000000003E-5</v>
      </c>
      <c r="F7" s="110">
        <v>1.5319E-5</v>
      </c>
      <c r="G7" s="110">
        <v>2.0898000000000002E-5</v>
      </c>
      <c r="I7" s="109"/>
    </row>
    <row r="8" spans="2:9" x14ac:dyDescent="0.25">
      <c r="B8" s="19">
        <v>34</v>
      </c>
      <c r="C8" s="19">
        <v>7.339E-4</v>
      </c>
      <c r="D8" s="110">
        <v>2.3124000000000001E-5</v>
      </c>
      <c r="E8" s="110">
        <v>1.8225000000000003E-5</v>
      </c>
      <c r="F8" s="110">
        <v>1.5367E-5</v>
      </c>
      <c r="G8" s="110">
        <v>2.0953000000000001E-5</v>
      </c>
      <c r="I8" s="109"/>
    </row>
    <row r="9" spans="2:9" x14ac:dyDescent="0.25">
      <c r="B9" s="19">
        <v>35</v>
      </c>
      <c r="C9" s="19">
        <v>7.1931999999999996E-4</v>
      </c>
      <c r="D9" s="110">
        <v>2.3187E-5</v>
      </c>
      <c r="E9" s="110">
        <v>1.827E-5</v>
      </c>
      <c r="F9" s="110">
        <v>1.5415000000000001E-5</v>
      </c>
      <c r="G9" s="110">
        <v>2.1007999999999999E-5</v>
      </c>
      <c r="I9" s="109"/>
    </row>
    <row r="10" spans="2:9" x14ac:dyDescent="0.25">
      <c r="B10" s="19">
        <v>36</v>
      </c>
      <c r="C10" s="19">
        <v>7.0518999999999996E-4</v>
      </c>
      <c r="D10" s="110">
        <v>2.2349000000000002E-5</v>
      </c>
      <c r="E10" s="110">
        <v>1.8315999999999999E-5</v>
      </c>
      <c r="F10" s="110">
        <v>1.5463000000000001E-5</v>
      </c>
      <c r="G10" s="110">
        <v>2.1061999999999999E-5</v>
      </c>
      <c r="I10" s="109"/>
    </row>
    <row r="11" spans="2:9" x14ac:dyDescent="0.25">
      <c r="B11" s="19">
        <v>37</v>
      </c>
      <c r="C11" s="19">
        <v>6.9152000000000005E-4</v>
      </c>
      <c r="D11" s="110">
        <v>2.3311000000000004E-5</v>
      </c>
      <c r="E11" s="110">
        <v>1.8361000000000003E-5</v>
      </c>
      <c r="F11" s="110">
        <v>1.5511000000000001E-5</v>
      </c>
      <c r="G11" s="110">
        <v>2.1117000000000001E-5</v>
      </c>
      <c r="I11" s="109"/>
    </row>
    <row r="12" spans="2:9" x14ac:dyDescent="0.25">
      <c r="B12" s="19">
        <v>38</v>
      </c>
      <c r="C12" s="19">
        <v>6.7827000000000002E-4</v>
      </c>
      <c r="D12" s="110">
        <v>2.3373000000000001E-5</v>
      </c>
      <c r="E12" s="110">
        <v>1.8407000000000002E-5</v>
      </c>
      <c r="F12" s="110">
        <v>1.5559000000000001E-5</v>
      </c>
      <c r="G12" s="110">
        <v>2.1171000000000004E-5</v>
      </c>
      <c r="I12" s="109"/>
    </row>
    <row r="13" spans="2:9" x14ac:dyDescent="0.25">
      <c r="B13" s="19">
        <v>39</v>
      </c>
      <c r="C13" s="19">
        <v>6.6542999999999995E-4</v>
      </c>
      <c r="D13" s="110">
        <v>2.3436000000000001E-5</v>
      </c>
      <c r="E13" s="110">
        <v>1.8452000000000002E-5</v>
      </c>
      <c r="F13" s="110">
        <v>1.5607000000000002E-5</v>
      </c>
      <c r="G13" s="110">
        <v>2.1225000000000001E-5</v>
      </c>
      <c r="I13" s="109"/>
    </row>
    <row r="14" spans="2:9" x14ac:dyDescent="0.25">
      <c r="B14" s="19">
        <v>40</v>
      </c>
      <c r="C14" s="19">
        <v>6.5298000000000005E-4</v>
      </c>
      <c r="D14" s="110">
        <v>2.3498000000000001E-5</v>
      </c>
      <c r="E14" s="110">
        <v>1.8496999999999999E-5</v>
      </c>
      <c r="F14" s="110">
        <v>1.5654999999999998E-5</v>
      </c>
      <c r="G14" s="110">
        <v>2.1279000000000001E-5</v>
      </c>
      <c r="I14" s="109"/>
    </row>
    <row r="15" spans="2:9" x14ac:dyDescent="0.25">
      <c r="B15" s="19">
        <v>41</v>
      </c>
      <c r="C15" s="19">
        <v>6.4090000000000002E-4</v>
      </c>
      <c r="D15" s="110">
        <v>2.3560000000000001E-5</v>
      </c>
      <c r="E15" s="110">
        <v>1.8542000000000003E-5</v>
      </c>
      <c r="F15" s="110">
        <v>1.5703000000000002E-5</v>
      </c>
      <c r="G15" s="110">
        <v>2.1334000000000003E-5</v>
      </c>
      <c r="I15" s="109"/>
    </row>
    <row r="16" spans="2:9" x14ac:dyDescent="0.25">
      <c r="B16" s="19">
        <v>42</v>
      </c>
      <c r="C16" s="19">
        <v>6.2919000000000007E-4</v>
      </c>
      <c r="D16" s="110">
        <v>2.3621E-5</v>
      </c>
      <c r="E16" s="110">
        <v>1.8588000000000002E-5</v>
      </c>
      <c r="F16" s="110">
        <v>1.5751000000000002E-5</v>
      </c>
      <c r="G16" s="110">
        <v>2.1387999999999999E-5</v>
      </c>
      <c r="I16" s="109"/>
    </row>
    <row r="17" spans="2:9" x14ac:dyDescent="0.25">
      <c r="B17" s="19">
        <v>43</v>
      </c>
      <c r="C17" s="19">
        <v>6.1782000000000004E-4</v>
      </c>
      <c r="D17" s="110">
        <v>2.3683000000000003E-5</v>
      </c>
      <c r="E17" s="110">
        <v>1.8633000000000003E-5</v>
      </c>
      <c r="F17" s="110">
        <v>1.5799000000000002E-5</v>
      </c>
      <c r="G17" s="110">
        <v>2.1442000000000002E-5</v>
      </c>
      <c r="I17" s="109"/>
    </row>
    <row r="18" spans="2:9" x14ac:dyDescent="0.25">
      <c r="B18" s="19">
        <v>44</v>
      </c>
      <c r="C18" s="19">
        <v>6.0678000000000001E-4</v>
      </c>
      <c r="D18" s="110">
        <v>2.3745000000000001E-5</v>
      </c>
      <c r="E18" s="110">
        <v>1.8678E-5</v>
      </c>
      <c r="F18" s="110">
        <v>1.5847000000000003E-5</v>
      </c>
      <c r="G18" s="110">
        <v>2.1496000000000002E-5</v>
      </c>
      <c r="I18" s="109"/>
    </row>
    <row r="19" spans="2:9" x14ac:dyDescent="0.25">
      <c r="B19" s="19">
        <v>45</v>
      </c>
      <c r="C19" s="19">
        <v>5.9606999999999998E-4</v>
      </c>
      <c r="D19" s="110">
        <v>2.3807000000000001E-5</v>
      </c>
      <c r="E19" s="110">
        <v>1.8723E-5</v>
      </c>
      <c r="F19" s="110">
        <v>1.5894999999999999E-5</v>
      </c>
      <c r="G19" s="110">
        <v>2.1549999999999999E-5</v>
      </c>
      <c r="I19" s="109"/>
    </row>
    <row r="20" spans="2:9" x14ac:dyDescent="0.25">
      <c r="B20" s="19">
        <v>46</v>
      </c>
      <c r="C20" s="19">
        <v>5.8564999999999995E-4</v>
      </c>
      <c r="D20" s="110">
        <v>2.3868000000000003E-5</v>
      </c>
      <c r="E20" s="110">
        <v>1.8787000000000002E-5</v>
      </c>
      <c r="F20" s="110">
        <v>1.5943000000000003E-5</v>
      </c>
      <c r="G20" s="110">
        <v>2.1603E-5</v>
      </c>
      <c r="I20" s="109"/>
    </row>
    <row r="21" spans="2:9" x14ac:dyDescent="0.25">
      <c r="B21" s="19">
        <v>47</v>
      </c>
      <c r="C21" s="19">
        <v>5.7554000000000004E-4</v>
      </c>
      <c r="D21" s="110">
        <v>2.393E-5</v>
      </c>
      <c r="E21" s="110">
        <v>1.8812000000000002E-5</v>
      </c>
      <c r="F21" s="110">
        <v>1.5991E-5</v>
      </c>
      <c r="G21" s="110">
        <v>2.1657000000000003E-5</v>
      </c>
      <c r="I21" s="109"/>
    </row>
    <row r="22" spans="2:9" x14ac:dyDescent="0.25">
      <c r="B22" s="19">
        <v>48</v>
      </c>
      <c r="C22" s="19">
        <v>5.6571000000000008E-4</v>
      </c>
      <c r="D22" s="110">
        <v>2.3991000000000001E-5</v>
      </c>
      <c r="E22" s="110">
        <v>1.8856999999999999E-5</v>
      </c>
      <c r="F22" s="110">
        <v>1.6038000000000001E-5</v>
      </c>
      <c r="G22" s="110">
        <v>2.1711000000000003E-5</v>
      </c>
      <c r="I22" s="109"/>
    </row>
    <row r="23" spans="2:9" x14ac:dyDescent="0.25">
      <c r="B23" s="19">
        <v>49</v>
      </c>
      <c r="C23" s="19">
        <v>5.5615000000000005E-4</v>
      </c>
      <c r="D23" s="110">
        <v>2.4053000000000002E-5</v>
      </c>
      <c r="E23" s="110">
        <v>1.8902000000000003E-5</v>
      </c>
      <c r="F23" s="110">
        <v>1.6086000000000002E-5</v>
      </c>
      <c r="G23" s="110">
        <v>2.1764000000000004E-5</v>
      </c>
      <c r="I23" s="109"/>
    </row>
    <row r="24" spans="2:9" x14ac:dyDescent="0.25">
      <c r="B24" s="19">
        <v>50</v>
      </c>
      <c r="C24" s="19">
        <v>5.4684999999999998E-4</v>
      </c>
      <c r="D24" s="110">
        <v>2.4114E-5</v>
      </c>
      <c r="E24" s="110">
        <v>1.8946000000000001E-5</v>
      </c>
      <c r="F24" s="110">
        <v>1.6133999999999998E-5</v>
      </c>
      <c r="G24" s="110">
        <v>2.1818E-5</v>
      </c>
      <c r="I24" s="109"/>
    </row>
    <row r="25" spans="2:9" x14ac:dyDescent="0.25">
      <c r="B25" s="19">
        <v>55</v>
      </c>
      <c r="C25" s="19">
        <v>5.0398000000000001E-4</v>
      </c>
      <c r="D25" s="110">
        <v>2.4419000000000001E-5</v>
      </c>
      <c r="E25" s="110">
        <v>1.9168999999999999E-5</v>
      </c>
      <c r="F25" s="110">
        <v>1.6371999999999998E-5</v>
      </c>
      <c r="G25" s="110">
        <v>2.2084999999999999E-5</v>
      </c>
      <c r="I25" s="109"/>
    </row>
    <row r="26" spans="2:9" x14ac:dyDescent="0.25">
      <c r="B26" s="19">
        <v>60</v>
      </c>
      <c r="C26" s="19">
        <v>4.6640000000000001E-4</v>
      </c>
      <c r="D26" s="110">
        <v>2.4723E-5</v>
      </c>
      <c r="E26" s="110">
        <v>1.9389999999999999E-5</v>
      </c>
      <c r="F26" s="110">
        <v>1.6609E-5</v>
      </c>
      <c r="G26" s="110">
        <v>2.2350000000000001E-5</v>
      </c>
      <c r="I26" s="109"/>
    </row>
    <row r="27" spans="2:9" x14ac:dyDescent="0.25">
      <c r="B27" s="19">
        <v>65</v>
      </c>
      <c r="C27" s="19">
        <v>4.3325999999999998E-4</v>
      </c>
      <c r="D27" s="110">
        <v>2.5024999999999998E-5</v>
      </c>
      <c r="E27" s="110">
        <v>1.9609000000000001E-5</v>
      </c>
      <c r="F27" s="110">
        <v>1.6844999999999999E-5</v>
      </c>
      <c r="G27" s="110">
        <v>2.2612999999999998E-5</v>
      </c>
      <c r="I27" s="109"/>
    </row>
    <row r="28" spans="2:9" x14ac:dyDescent="0.25">
      <c r="B28" s="19">
        <v>70</v>
      </c>
      <c r="C28" s="19">
        <v>4.0389000000000001E-4</v>
      </c>
      <c r="D28" s="110">
        <v>2.5326000000000001E-5</v>
      </c>
      <c r="E28" s="110">
        <v>1.9826999999999998E-5</v>
      </c>
      <c r="F28" s="110">
        <v>1.7081000000000001E-5</v>
      </c>
      <c r="G28" s="110">
        <v>2.2875E-5</v>
      </c>
      <c r="I28" s="109"/>
    </row>
    <row r="29" spans="2:9" x14ac:dyDescent="0.25">
      <c r="B29" s="19">
        <v>75</v>
      </c>
      <c r="C29" s="19">
        <v>3.7774E-4</v>
      </c>
      <c r="D29" s="110">
        <v>2.5624000000000001E-5</v>
      </c>
      <c r="E29" s="110">
        <v>2.0044E-5</v>
      </c>
      <c r="F29" s="110">
        <v>1.7314999999999999E-5</v>
      </c>
      <c r="G29" s="110">
        <v>2.3135000000000001E-5</v>
      </c>
      <c r="I29" s="109"/>
    </row>
    <row r="30" spans="2:9" x14ac:dyDescent="0.25">
      <c r="B30" s="19">
        <v>80</v>
      </c>
      <c r="C30" s="19">
        <v>3.5435000000000002E-4</v>
      </c>
      <c r="D30" s="110">
        <v>2.5921000000000001E-5</v>
      </c>
      <c r="E30" s="110">
        <v>2.0259999999999999E-5</v>
      </c>
      <c r="F30" s="110">
        <v>1.7549000000000001E-5</v>
      </c>
      <c r="G30" s="110">
        <v>2.3394E-5</v>
      </c>
      <c r="I30" s="109"/>
    </row>
    <row r="31" spans="2:9" x14ac:dyDescent="0.25">
      <c r="B31" s="19">
        <v>85</v>
      </c>
      <c r="C31" s="19">
        <v>3.3334E-4</v>
      </c>
      <c r="D31" s="110">
        <v>2.6216000000000001E-5</v>
      </c>
      <c r="E31" s="110">
        <v>2.0474000000000001E-5</v>
      </c>
      <c r="F31" s="110">
        <v>1.7782E-5</v>
      </c>
      <c r="G31" s="110">
        <v>2.3652E-5</v>
      </c>
      <c r="I31" s="109"/>
    </row>
    <row r="32" spans="2:9" x14ac:dyDescent="0.25">
      <c r="B32" s="19">
        <v>90</v>
      </c>
      <c r="C32" s="19">
        <v>3.1440999999999999E-4</v>
      </c>
      <c r="D32" s="110">
        <v>2.6509999999999999E-5</v>
      </c>
      <c r="E32" s="110">
        <v>2.0686000000000002E-5</v>
      </c>
      <c r="F32" s="110">
        <v>1.8014000000000001E-5</v>
      </c>
      <c r="G32" s="110">
        <v>2.3096999999999999E-5</v>
      </c>
      <c r="I32" s="109"/>
    </row>
    <row r="33" spans="2:9" x14ac:dyDescent="0.25">
      <c r="B33" s="19">
        <v>95</v>
      </c>
      <c r="C33" s="19">
        <v>2.9728000000000003E-4</v>
      </c>
      <c r="D33" s="110">
        <v>2.6801999999999999E-5</v>
      </c>
      <c r="E33" s="110">
        <v>2.0897999999999999E-5</v>
      </c>
      <c r="F33" s="110">
        <v>1.8244999999999999E-5</v>
      </c>
      <c r="G33" s="110">
        <v>2.4125999999999999E-5</v>
      </c>
      <c r="I33" s="109"/>
    </row>
    <row r="34" spans="2:9" x14ac:dyDescent="0.25">
      <c r="B34" s="19">
        <v>100</v>
      </c>
      <c r="C34" s="110">
        <v>1.2269999999999999E-5</v>
      </c>
      <c r="D34" s="110">
        <v>2.7093E-5</v>
      </c>
      <c r="E34" s="110">
        <v>2.1107999999999998E-5</v>
      </c>
      <c r="F34" s="110">
        <v>1.8474999999999998E-5</v>
      </c>
      <c r="G34" s="110">
        <v>2.4414999999999999E-5</v>
      </c>
    </row>
    <row r="35" spans="2:9" x14ac:dyDescent="0.25">
      <c r="B35" s="19">
        <v>105</v>
      </c>
      <c r="C35" s="110">
        <v>1.2456999999999999E-5</v>
      </c>
      <c r="D35" s="110">
        <v>2.7382E-5</v>
      </c>
      <c r="E35" s="110">
        <v>2.1316999999999999E-5</v>
      </c>
      <c r="F35" s="110">
        <v>1.8703999999999999E-5</v>
      </c>
      <c r="G35" s="110">
        <v>2.4666000000000001E-5</v>
      </c>
    </row>
    <row r="36" spans="2:9" x14ac:dyDescent="0.25">
      <c r="B36" s="19">
        <v>110</v>
      </c>
      <c r="C36" s="110">
        <v>1.2644E-5</v>
      </c>
      <c r="D36" s="110">
        <v>2.7668999999999999E-5</v>
      </c>
      <c r="E36" s="110">
        <v>2.1525000000000001E-5</v>
      </c>
      <c r="F36" s="110">
        <v>1.8933E-5</v>
      </c>
      <c r="G36" s="110">
        <v>2.4916E-5</v>
      </c>
    </row>
    <row r="37" spans="2:9" x14ac:dyDescent="0.25">
      <c r="B37" s="19">
        <v>115</v>
      </c>
      <c r="C37" s="110">
        <v>1.2833000000000001E-5</v>
      </c>
      <c r="D37" s="110">
        <v>2.7954999999999999E-5</v>
      </c>
      <c r="E37" s="110">
        <v>2.1732000000000001E-5</v>
      </c>
      <c r="F37" s="110">
        <v>1.916E-5</v>
      </c>
      <c r="G37" s="110">
        <v>2.5165E-5</v>
      </c>
    </row>
    <row r="38" spans="2:9" x14ac:dyDescent="0.25">
      <c r="B38" s="19">
        <v>120</v>
      </c>
      <c r="C38" s="110">
        <v>1.3023000000000001E-5</v>
      </c>
      <c r="D38" s="110">
        <v>2.8240000000000001E-5</v>
      </c>
      <c r="E38" s="110">
        <v>2.1937E-5</v>
      </c>
      <c r="F38" s="110">
        <v>1.9386999999999999E-5</v>
      </c>
      <c r="G38" s="110">
        <v>2.5412E-5</v>
      </c>
    </row>
    <row r="39" spans="2:9" x14ac:dyDescent="0.25">
      <c r="B39" s="19">
        <v>125</v>
      </c>
      <c r="C39" s="110">
        <v>1.3213999999999999E-5</v>
      </c>
      <c r="D39" s="110">
        <v>2.8523000000000001E-5</v>
      </c>
      <c r="E39" s="110">
        <v>2.2141E-5</v>
      </c>
      <c r="F39" s="110">
        <v>1.9613E-5</v>
      </c>
      <c r="G39" s="110">
        <v>2.5658000000000001E-5</v>
      </c>
    </row>
    <row r="40" spans="2:9" x14ac:dyDescent="0.25">
      <c r="B40" s="19">
        <v>130</v>
      </c>
      <c r="C40" s="110">
        <v>1.3406E-5</v>
      </c>
      <c r="D40" s="110">
        <v>2.8804000000000001E-5</v>
      </c>
      <c r="E40" s="110">
        <v>2.2344000000000002E-5</v>
      </c>
      <c r="F40" s="110">
        <v>1.9837E-5</v>
      </c>
      <c r="G40" s="110">
        <v>2.5902999999999999E-5</v>
      </c>
    </row>
    <row r="41" spans="2:9" x14ac:dyDescent="0.25">
      <c r="B41" s="19">
        <v>135</v>
      </c>
      <c r="C41" s="110">
        <v>1.3599E-5</v>
      </c>
      <c r="D41" s="110">
        <v>2.9084000000000001E-5</v>
      </c>
      <c r="E41" s="110">
        <v>2.2546000000000001E-5</v>
      </c>
      <c r="F41" s="110">
        <v>2.0061E-5</v>
      </c>
      <c r="G41" s="110">
        <v>2.6146999999999999E-5</v>
      </c>
    </row>
    <row r="42" spans="2:9" x14ac:dyDescent="0.25">
      <c r="B42" s="19">
        <v>140</v>
      </c>
      <c r="C42" s="110">
        <v>1.3793E-5</v>
      </c>
      <c r="D42" s="110">
        <v>2.9363E-5</v>
      </c>
      <c r="E42" s="110">
        <v>2.2747000000000001E-5</v>
      </c>
      <c r="F42" s="110">
        <v>2.0284000000000001E-5</v>
      </c>
      <c r="G42" s="110">
        <v>2.6389000000000001E-5</v>
      </c>
    </row>
    <row r="43" spans="2:9" x14ac:dyDescent="0.25">
      <c r="B43" s="19">
        <v>145</v>
      </c>
      <c r="C43" s="110">
        <v>1.3987E-5</v>
      </c>
      <c r="D43" s="110">
        <v>2.9640000000000001E-5</v>
      </c>
      <c r="E43" s="110">
        <v>2.2946999999999999E-5</v>
      </c>
      <c r="F43" s="110">
        <v>2.0506999999999999E-5</v>
      </c>
      <c r="G43" s="110">
        <v>2.6630000000000001E-5</v>
      </c>
    </row>
    <row r="44" spans="2:9" x14ac:dyDescent="0.25">
      <c r="B44" s="19">
        <v>150</v>
      </c>
      <c r="C44" s="110">
        <v>1.4183E-5</v>
      </c>
      <c r="D44" s="110">
        <v>2.9916E-5</v>
      </c>
      <c r="E44" s="110">
        <v>2.3146000000000002E-5</v>
      </c>
      <c r="F44" s="110">
        <v>2.0727999999999999E-5</v>
      </c>
      <c r="G44" s="110">
        <v>2.6869E-5</v>
      </c>
    </row>
    <row r="45" spans="2:9" x14ac:dyDescent="0.25">
      <c r="B45" s="19">
        <f>5+B44</f>
        <v>155</v>
      </c>
      <c r="C45" s="110">
        <v>1.4379000000000001E-5</v>
      </c>
      <c r="D45" s="110">
        <v>3.0190999999999999E-5</v>
      </c>
      <c r="E45" s="110">
        <v>2.3343999999999999E-5</v>
      </c>
      <c r="F45" s="110">
        <v>2.0948E-5</v>
      </c>
      <c r="G45" s="110">
        <v>2.7107999999999999E-5</v>
      </c>
    </row>
    <row r="46" spans="2:9" x14ac:dyDescent="0.25">
      <c r="B46" s="19">
        <f t="shared" ref="B46:B53" si="0">5+B45</f>
        <v>160</v>
      </c>
      <c r="C46" s="110">
        <v>1.4576000000000001E-5</v>
      </c>
      <c r="D46" s="110">
        <v>3.0463999999999998E-5</v>
      </c>
      <c r="E46" s="110">
        <v>2.3540000000000002E-5</v>
      </c>
      <c r="F46" s="110">
        <v>2.1168000000000001E-5</v>
      </c>
      <c r="G46" s="110">
        <v>2.7345E-5</v>
      </c>
    </row>
    <row r="47" spans="2:9" x14ac:dyDescent="0.25">
      <c r="B47" s="19">
        <f t="shared" si="0"/>
        <v>165</v>
      </c>
      <c r="C47" s="110">
        <v>1.4773999999999999E-5</v>
      </c>
      <c r="D47" s="110">
        <v>3.0735999999999998E-5</v>
      </c>
      <c r="E47" s="110">
        <v>2.3736000000000001E-5</v>
      </c>
      <c r="F47" s="110">
        <v>2.1386000000000002E-5</v>
      </c>
      <c r="G47" s="110">
        <v>2.7580999999999999E-5</v>
      </c>
    </row>
    <row r="48" spans="2:9" x14ac:dyDescent="0.25">
      <c r="B48" s="19">
        <f t="shared" si="0"/>
        <v>170</v>
      </c>
      <c r="C48" s="110">
        <v>1.4973E-5</v>
      </c>
      <c r="D48" s="110">
        <v>3.1007000000000003E-5</v>
      </c>
      <c r="E48" s="110">
        <v>2.3930999999999998E-5</v>
      </c>
      <c r="F48" s="110">
        <v>2.1603999999999998E-5</v>
      </c>
      <c r="G48" s="110">
        <v>2.7815999999999999E-5</v>
      </c>
    </row>
    <row r="49" spans="2:7" x14ac:dyDescent="0.25">
      <c r="B49" s="19">
        <f t="shared" si="0"/>
        <v>175</v>
      </c>
      <c r="C49" s="110">
        <v>1.5172E-5</v>
      </c>
      <c r="D49" s="110">
        <v>3.1275999999999997E-5</v>
      </c>
      <c r="E49" s="110">
        <v>2.4124000000000001E-5</v>
      </c>
      <c r="F49" s="110">
        <v>2.1821E-5</v>
      </c>
      <c r="G49" s="110">
        <v>2.8050000000000001E-5</v>
      </c>
    </row>
    <row r="50" spans="2:7" x14ac:dyDescent="0.25">
      <c r="B50" s="19">
        <f t="shared" si="0"/>
        <v>180</v>
      </c>
      <c r="C50" s="110">
        <v>1.5372000000000001E-5</v>
      </c>
      <c r="D50" s="110">
        <v>3.1544999999999997E-5</v>
      </c>
      <c r="E50" s="110">
        <v>2.4317000000000001E-5</v>
      </c>
      <c r="F50" s="110">
        <v>2.2036999999999999E-5</v>
      </c>
      <c r="G50" s="110">
        <v>2.8283E-5</v>
      </c>
    </row>
    <row r="51" spans="2:7" x14ac:dyDescent="0.25">
      <c r="B51" s="19">
        <f t="shared" si="0"/>
        <v>185</v>
      </c>
      <c r="C51" s="110">
        <v>1.5571999999999999E-5</v>
      </c>
      <c r="D51" s="110">
        <v>3.1810999999999997E-5</v>
      </c>
      <c r="E51" s="110">
        <v>2.4508999999999999E-5</v>
      </c>
      <c r="F51" s="110">
        <v>2.2252E-5</v>
      </c>
      <c r="G51" s="110">
        <v>2.8513999999999998E-5</v>
      </c>
    </row>
    <row r="52" spans="2:7" x14ac:dyDescent="0.25">
      <c r="B52" s="19">
        <f>5+B51</f>
        <v>190</v>
      </c>
      <c r="C52" s="110">
        <v>1.5773E-5</v>
      </c>
      <c r="D52" s="110">
        <v>3.2076999999999998E-5</v>
      </c>
      <c r="E52" s="110">
        <v>2.4700000000000001E-5</v>
      </c>
      <c r="F52" s="110">
        <v>2.2466000000000001E-5</v>
      </c>
      <c r="G52" s="110">
        <v>2.8744000000000001E-5</v>
      </c>
    </row>
    <row r="53" spans="2:7" x14ac:dyDescent="0.25">
      <c r="B53" s="19">
        <f t="shared" si="0"/>
        <v>195</v>
      </c>
      <c r="C53" s="110">
        <v>1.5974999999999999E-5</v>
      </c>
      <c r="D53" s="110">
        <v>3.2342000000000003E-5</v>
      </c>
      <c r="E53" s="110">
        <v>2.4888999999999998E-5</v>
      </c>
      <c r="F53" s="110">
        <v>2.2679000000000001E-5</v>
      </c>
      <c r="G53" s="110">
        <v>2.8974000000000001E-5</v>
      </c>
    </row>
    <row r="54" spans="2:7" x14ac:dyDescent="0.25">
      <c r="B54" s="19">
        <f>5+B53</f>
        <v>200</v>
      </c>
      <c r="C54" s="110">
        <v>1.6177000000000001E-5</v>
      </c>
      <c r="D54" s="110">
        <v>3.2604999999999997E-5</v>
      </c>
      <c r="E54" s="110">
        <v>2.5077999999999999E-5</v>
      </c>
      <c r="F54" s="110">
        <v>2.2891000000000002E-5</v>
      </c>
      <c r="G54" s="110">
        <v>2.9201999999999999E-5</v>
      </c>
    </row>
  </sheetData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B2:C44"/>
  <sheetViews>
    <sheetView workbookViewId="0">
      <selection activeCell="C36" sqref="C36"/>
    </sheetView>
  </sheetViews>
  <sheetFormatPr defaultRowHeight="15" x14ac:dyDescent="0.25"/>
  <cols>
    <col min="1" max="1" width="8.796875" style="19"/>
    <col min="2" max="2" width="12.19921875" style="19" customWidth="1"/>
    <col min="3" max="3" width="23" style="19" customWidth="1"/>
    <col min="4" max="16384" width="8.796875" style="19"/>
  </cols>
  <sheetData>
    <row r="2" spans="2:3" x14ac:dyDescent="0.25">
      <c r="B2" s="212" t="s">
        <v>70</v>
      </c>
      <c r="C2" s="212"/>
    </row>
    <row r="3" spans="2:3" x14ac:dyDescent="0.25">
      <c r="B3" s="19" t="s">
        <v>63</v>
      </c>
      <c r="C3" s="19" t="s">
        <v>72</v>
      </c>
    </row>
    <row r="4" spans="2:3" x14ac:dyDescent="0.25">
      <c r="B4" s="19">
        <v>0</v>
      </c>
      <c r="C4" s="19">
        <v>2500.9</v>
      </c>
    </row>
    <row r="5" spans="2:3" x14ac:dyDescent="0.25">
      <c r="B5" s="19">
        <v>5</v>
      </c>
      <c r="C5" s="19">
        <v>2489.1</v>
      </c>
    </row>
    <row r="6" spans="2:3" x14ac:dyDescent="0.25">
      <c r="B6" s="19">
        <v>10</v>
      </c>
      <c r="C6" s="19">
        <v>2477.1999999999998</v>
      </c>
    </row>
    <row r="7" spans="2:3" x14ac:dyDescent="0.25">
      <c r="B7" s="19">
        <v>15</v>
      </c>
      <c r="C7" s="19">
        <v>2465.4</v>
      </c>
    </row>
    <row r="8" spans="2:3" x14ac:dyDescent="0.25">
      <c r="B8" s="19">
        <v>20</v>
      </c>
      <c r="C8" s="19">
        <v>2453.6</v>
      </c>
    </row>
    <row r="9" spans="2:3" x14ac:dyDescent="0.25">
      <c r="B9" s="19">
        <f>B8+5</f>
        <v>25</v>
      </c>
      <c r="C9" s="19">
        <v>2441.6999999999998</v>
      </c>
    </row>
    <row r="10" spans="2:3" x14ac:dyDescent="0.25">
      <c r="B10" s="19">
        <f t="shared" ref="B10:B43" si="0">B9+5</f>
        <v>30</v>
      </c>
      <c r="C10" s="19">
        <v>2429.8000000000002</v>
      </c>
    </row>
    <row r="11" spans="2:3" x14ac:dyDescent="0.25">
      <c r="B11" s="19">
        <f t="shared" si="0"/>
        <v>35</v>
      </c>
      <c r="C11" s="19">
        <v>2417.9</v>
      </c>
    </row>
    <row r="12" spans="2:3" x14ac:dyDescent="0.25">
      <c r="B12" s="19">
        <f t="shared" si="0"/>
        <v>40</v>
      </c>
      <c r="C12" s="19">
        <v>2406</v>
      </c>
    </row>
    <row r="13" spans="2:3" x14ac:dyDescent="0.25">
      <c r="B13" s="19">
        <f t="shared" si="0"/>
        <v>45</v>
      </c>
      <c r="C13" s="19">
        <v>2394</v>
      </c>
    </row>
    <row r="14" spans="2:3" x14ac:dyDescent="0.25">
      <c r="B14" s="19">
        <f t="shared" si="0"/>
        <v>50</v>
      </c>
      <c r="C14" s="19">
        <v>2381.9</v>
      </c>
    </row>
    <row r="15" spans="2:3" x14ac:dyDescent="0.25">
      <c r="B15" s="19">
        <f t="shared" si="0"/>
        <v>55</v>
      </c>
      <c r="C15" s="19">
        <v>2369.8000000000002</v>
      </c>
    </row>
    <row r="16" spans="2:3" x14ac:dyDescent="0.25">
      <c r="B16" s="19">
        <f t="shared" si="0"/>
        <v>60</v>
      </c>
      <c r="C16" s="19">
        <v>2357.6</v>
      </c>
    </row>
    <row r="17" spans="2:3" x14ac:dyDescent="0.25">
      <c r="B17" s="19">
        <f t="shared" si="0"/>
        <v>65</v>
      </c>
      <c r="C17" s="19">
        <v>2345.4</v>
      </c>
    </row>
    <row r="18" spans="2:3" x14ac:dyDescent="0.25">
      <c r="B18" s="19">
        <f t="shared" si="0"/>
        <v>70</v>
      </c>
      <c r="C18" s="19">
        <v>2333</v>
      </c>
    </row>
    <row r="19" spans="2:3" x14ac:dyDescent="0.25">
      <c r="B19" s="19">
        <f t="shared" si="0"/>
        <v>75</v>
      </c>
      <c r="C19" s="19">
        <v>2320.6</v>
      </c>
    </row>
    <row r="20" spans="2:3" x14ac:dyDescent="0.25">
      <c r="B20" s="19">
        <f t="shared" si="0"/>
        <v>80</v>
      </c>
      <c r="C20" s="19">
        <v>2308</v>
      </c>
    </row>
    <row r="21" spans="2:3" x14ac:dyDescent="0.25">
      <c r="B21" s="19">
        <f t="shared" si="0"/>
        <v>85</v>
      </c>
      <c r="C21" s="19">
        <v>2295.3000000000002</v>
      </c>
    </row>
    <row r="22" spans="2:3" x14ac:dyDescent="0.25">
      <c r="B22" s="19">
        <f t="shared" si="0"/>
        <v>90</v>
      </c>
      <c r="C22" s="19">
        <v>2282.5</v>
      </c>
    </row>
    <row r="23" spans="2:3" x14ac:dyDescent="0.25">
      <c r="B23" s="19">
        <f t="shared" si="0"/>
        <v>95</v>
      </c>
      <c r="C23" s="19">
        <v>2269.6</v>
      </c>
    </row>
    <row r="24" spans="2:3" x14ac:dyDescent="0.25">
      <c r="B24" s="19">
        <f t="shared" si="0"/>
        <v>100</v>
      </c>
      <c r="C24" s="19">
        <v>2256.4</v>
      </c>
    </row>
    <row r="25" spans="2:3" x14ac:dyDescent="0.25">
      <c r="B25" s="19">
        <f t="shared" si="0"/>
        <v>105</v>
      </c>
      <c r="C25" s="19">
        <v>2243.1</v>
      </c>
    </row>
    <row r="26" spans="2:3" x14ac:dyDescent="0.25">
      <c r="B26" s="19">
        <f>B25+5</f>
        <v>110</v>
      </c>
      <c r="C26" s="19">
        <v>2229.6999999999998</v>
      </c>
    </row>
    <row r="27" spans="2:3" x14ac:dyDescent="0.25">
      <c r="B27" s="19">
        <f t="shared" si="0"/>
        <v>115</v>
      </c>
      <c r="C27" s="19">
        <v>2216</v>
      </c>
    </row>
    <row r="28" spans="2:3" x14ac:dyDescent="0.25">
      <c r="B28" s="19">
        <f t="shared" si="0"/>
        <v>120</v>
      </c>
      <c r="C28" s="19">
        <v>2202.1</v>
      </c>
    </row>
    <row r="29" spans="2:3" x14ac:dyDescent="0.25">
      <c r="B29" s="19">
        <f t="shared" si="0"/>
        <v>125</v>
      </c>
      <c r="C29" s="19">
        <v>2188</v>
      </c>
    </row>
    <row r="30" spans="2:3" x14ac:dyDescent="0.25">
      <c r="B30" s="19">
        <f t="shared" si="0"/>
        <v>130</v>
      </c>
      <c r="C30" s="19">
        <v>2173.6999999999998</v>
      </c>
    </row>
    <row r="31" spans="2:3" x14ac:dyDescent="0.25">
      <c r="B31" s="19">
        <f>B30+5</f>
        <v>135</v>
      </c>
      <c r="C31" s="19">
        <v>2159.1</v>
      </c>
    </row>
    <row r="32" spans="2:3" x14ac:dyDescent="0.25">
      <c r="B32" s="19">
        <f t="shared" si="0"/>
        <v>140</v>
      </c>
      <c r="C32" s="19">
        <v>2144.1999999999998</v>
      </c>
    </row>
    <row r="33" spans="2:3" x14ac:dyDescent="0.25">
      <c r="B33" s="19">
        <f t="shared" si="0"/>
        <v>145</v>
      </c>
      <c r="C33" s="19">
        <v>2129.1</v>
      </c>
    </row>
    <row r="34" spans="2:3" x14ac:dyDescent="0.25">
      <c r="B34" s="19">
        <f>B33+5</f>
        <v>150</v>
      </c>
      <c r="C34" s="19">
        <v>2113.6999999999998</v>
      </c>
    </row>
    <row r="35" spans="2:3" x14ac:dyDescent="0.25">
      <c r="B35" s="19">
        <f t="shared" si="0"/>
        <v>155</v>
      </c>
      <c r="C35" s="19">
        <v>2098</v>
      </c>
    </row>
    <row r="36" spans="2:3" x14ac:dyDescent="0.25">
      <c r="B36" s="19">
        <f>B35+5</f>
        <v>160</v>
      </c>
      <c r="C36" s="19">
        <v>2081.9</v>
      </c>
    </row>
    <row r="37" spans="2:3" x14ac:dyDescent="0.25">
      <c r="B37" s="19">
        <f t="shared" si="0"/>
        <v>165</v>
      </c>
      <c r="C37" s="19">
        <v>2065.5</v>
      </c>
    </row>
    <row r="38" spans="2:3" x14ac:dyDescent="0.25">
      <c r="B38" s="19">
        <f t="shared" si="0"/>
        <v>170</v>
      </c>
      <c r="C38" s="19">
        <v>2048.8000000000002</v>
      </c>
    </row>
    <row r="39" spans="2:3" x14ac:dyDescent="0.25">
      <c r="B39" s="19">
        <f t="shared" si="0"/>
        <v>175</v>
      </c>
      <c r="C39" s="19">
        <v>2031.7</v>
      </c>
    </row>
    <row r="40" spans="2:3" x14ac:dyDescent="0.25">
      <c r="B40" s="19">
        <f>B39+5</f>
        <v>180</v>
      </c>
      <c r="C40" s="19">
        <v>2014.1</v>
      </c>
    </row>
    <row r="41" spans="2:3" x14ac:dyDescent="0.25">
      <c r="B41" s="19">
        <f t="shared" si="0"/>
        <v>185</v>
      </c>
      <c r="C41" s="19">
        <v>1996.2</v>
      </c>
    </row>
    <row r="42" spans="2:3" x14ac:dyDescent="0.25">
      <c r="B42" s="19">
        <f>B41+5</f>
        <v>190</v>
      </c>
      <c r="C42" s="19">
        <v>1977.9</v>
      </c>
    </row>
    <row r="43" spans="2:3" x14ac:dyDescent="0.25">
      <c r="B43" s="19">
        <f t="shared" si="0"/>
        <v>195</v>
      </c>
      <c r="C43" s="19">
        <v>1959.1</v>
      </c>
    </row>
    <row r="44" spans="2:3" x14ac:dyDescent="0.25">
      <c r="B44" s="19">
        <f>B43+5</f>
        <v>200</v>
      </c>
      <c r="C44" s="19">
        <v>1939.8</v>
      </c>
    </row>
  </sheetData>
  <mergeCells count="1">
    <mergeCell ref="B2:C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B2:N134"/>
  <sheetViews>
    <sheetView workbookViewId="0">
      <selection activeCell="N18" sqref="N18"/>
    </sheetView>
  </sheetViews>
  <sheetFormatPr defaultRowHeight="15" x14ac:dyDescent="0.25"/>
  <cols>
    <col min="1" max="1" width="8.796875" style="19"/>
    <col min="2" max="2" width="12.796875" style="19" customWidth="1"/>
    <col min="3" max="3" width="12.69921875" style="19" customWidth="1"/>
    <col min="4" max="4" width="12.8984375" style="19" customWidth="1"/>
    <col min="5" max="5" width="12.3984375" style="19" customWidth="1"/>
    <col min="6" max="6" width="13.59765625" style="19" customWidth="1"/>
    <col min="7" max="7" width="12.5" style="19" customWidth="1"/>
    <col min="8" max="9" width="10.5" style="19" bestFit="1" customWidth="1"/>
    <col min="10" max="11" width="8.796875" style="19"/>
    <col min="12" max="12" width="11.3984375" style="19" bestFit="1" customWidth="1"/>
    <col min="13" max="13" width="12.19921875" style="19" customWidth="1"/>
    <col min="14" max="14" width="13.19921875" style="19" bestFit="1" customWidth="1"/>
    <col min="15" max="16384" width="8.796875" style="19"/>
  </cols>
  <sheetData>
    <row r="2" spans="2:14" x14ac:dyDescent="0.25">
      <c r="B2" s="212" t="s">
        <v>70</v>
      </c>
      <c r="C2" s="212"/>
      <c r="D2" s="38"/>
      <c r="E2" s="38"/>
      <c r="F2" s="19" t="s">
        <v>251</v>
      </c>
      <c r="G2" s="19" t="s">
        <v>134</v>
      </c>
      <c r="H2" s="19" t="s">
        <v>110</v>
      </c>
      <c r="I2" s="19" t="s">
        <v>109</v>
      </c>
      <c r="J2" s="19" t="s">
        <v>108</v>
      </c>
      <c r="M2" s="19" t="s">
        <v>293</v>
      </c>
    </row>
    <row r="3" spans="2:14" ht="17.25" x14ac:dyDescent="0.25">
      <c r="B3" s="19" t="s">
        <v>63</v>
      </c>
      <c r="C3" s="19" t="s">
        <v>71</v>
      </c>
      <c r="E3" s="19" t="s">
        <v>63</v>
      </c>
      <c r="F3" s="19" t="s">
        <v>71</v>
      </c>
      <c r="G3" s="19" t="s">
        <v>71</v>
      </c>
      <c r="H3" s="19" t="s">
        <v>71</v>
      </c>
      <c r="I3" s="19" t="s">
        <v>71</v>
      </c>
      <c r="J3" s="19" t="s">
        <v>71</v>
      </c>
      <c r="L3" s="19" t="s">
        <v>63</v>
      </c>
      <c r="M3" s="19" t="s">
        <v>294</v>
      </c>
      <c r="N3" s="19" t="s">
        <v>295</v>
      </c>
    </row>
    <row r="4" spans="2:14" x14ac:dyDescent="0.25">
      <c r="B4" s="19">
        <v>0</v>
      </c>
      <c r="C4" s="19">
        <v>998</v>
      </c>
      <c r="E4" s="19">
        <v>30</v>
      </c>
      <c r="F4" s="19">
        <v>995.65</v>
      </c>
      <c r="G4" s="19">
        <v>1.5858000000000001</v>
      </c>
      <c r="H4" s="19">
        <v>1.1115999999999999</v>
      </c>
      <c r="I4" s="29">
        <v>1.7543</v>
      </c>
      <c r="J4" s="19">
        <v>1.2703</v>
      </c>
      <c r="L4" s="19">
        <v>30</v>
      </c>
      <c r="M4" s="19">
        <f>1/F4</f>
        <v>1.0043690051725004E-3</v>
      </c>
      <c r="N4" s="19">
        <f>(M9-M4)/(L9-L4)*1000</f>
        <v>3.3344242626452171E-4</v>
      </c>
    </row>
    <row r="5" spans="2:14" x14ac:dyDescent="0.25">
      <c r="B5" s="19">
        <v>21</v>
      </c>
      <c r="C5" s="19">
        <v>998</v>
      </c>
      <c r="E5" s="19">
        <v>31</v>
      </c>
      <c r="F5" s="19">
        <v>996</v>
      </c>
      <c r="G5" s="19">
        <v>1.5806</v>
      </c>
      <c r="H5" s="19">
        <v>1.1079000000000001</v>
      </c>
      <c r="I5" s="19">
        <v>1.7484999999999999</v>
      </c>
      <c r="J5" s="19">
        <v>1.2661</v>
      </c>
      <c r="L5" s="19">
        <v>31</v>
      </c>
      <c r="M5" s="19">
        <f t="shared" ref="M5:M23" si="0">1/F5</f>
        <v>1.004016064257028E-3</v>
      </c>
      <c r="N5" s="19">
        <f t="shared" ref="N5:N23" si="1">(M10-M5)/(L10-L5)*1000</f>
        <v>4.0403060935900043E-4</v>
      </c>
    </row>
    <row r="6" spans="2:14" x14ac:dyDescent="0.25">
      <c r="B6" s="19">
        <v>22</v>
      </c>
      <c r="C6" s="19">
        <v>998</v>
      </c>
      <c r="E6" s="19">
        <v>32</v>
      </c>
      <c r="F6" s="19">
        <v>995</v>
      </c>
      <c r="G6" s="19">
        <v>1.5753999999999999</v>
      </c>
      <c r="H6" s="19">
        <v>1.1043000000000001</v>
      </c>
      <c r="I6" s="19">
        <v>1.7425999999999999</v>
      </c>
      <c r="J6" s="19">
        <v>1.2619</v>
      </c>
      <c r="L6" s="19">
        <v>32</v>
      </c>
      <c r="M6" s="19">
        <f t="shared" si="0"/>
        <v>1.0050251256281408E-3</v>
      </c>
      <c r="N6" s="19">
        <f t="shared" si="1"/>
        <v>4.0484395795693448E-4</v>
      </c>
    </row>
    <row r="7" spans="2:14" x14ac:dyDescent="0.25">
      <c r="B7" s="19">
        <v>23</v>
      </c>
      <c r="C7" s="19">
        <v>998</v>
      </c>
      <c r="E7" s="19">
        <v>33</v>
      </c>
      <c r="F7" s="19">
        <v>995</v>
      </c>
      <c r="G7" s="19">
        <v>1.5702</v>
      </c>
      <c r="H7" s="19">
        <v>1.1007</v>
      </c>
      <c r="I7" s="19">
        <v>1.7369000000000001</v>
      </c>
      <c r="J7" s="19">
        <v>1.2578</v>
      </c>
      <c r="L7" s="19">
        <v>33</v>
      </c>
      <c r="M7" s="19">
        <f t="shared" si="0"/>
        <v>1.0050251256281408E-3</v>
      </c>
      <c r="N7" s="19">
        <f t="shared" si="1"/>
        <v>4.0484395795693448E-4</v>
      </c>
    </row>
    <row r="8" spans="2:14" x14ac:dyDescent="0.25">
      <c r="B8" s="19">
        <v>24</v>
      </c>
      <c r="C8" s="19">
        <v>998</v>
      </c>
      <c r="E8" s="19">
        <v>34</v>
      </c>
      <c r="F8" s="19">
        <v>994</v>
      </c>
      <c r="G8" s="19">
        <v>1.5650999999999999</v>
      </c>
      <c r="H8" s="19">
        <v>1.0971</v>
      </c>
      <c r="I8" s="19">
        <v>1.7311000000000001</v>
      </c>
      <c r="J8" s="19">
        <v>1.2537</v>
      </c>
      <c r="L8" s="19">
        <v>34</v>
      </c>
      <c r="M8" s="19">
        <f t="shared" si="0"/>
        <v>1.006036217303823E-3</v>
      </c>
      <c r="N8" s="19">
        <f t="shared" si="1"/>
        <v>2.0262562282049104E-4</v>
      </c>
    </row>
    <row r="9" spans="2:14" x14ac:dyDescent="0.25">
      <c r="B9" s="19">
        <v>25</v>
      </c>
      <c r="C9" s="19">
        <v>998</v>
      </c>
      <c r="E9" s="19">
        <v>35</v>
      </c>
      <c r="F9" s="19">
        <v>994</v>
      </c>
      <c r="G9" s="19">
        <v>1.56</v>
      </c>
      <c r="H9" s="19">
        <v>1.0934999999999999</v>
      </c>
      <c r="I9" s="19">
        <v>1.7244999999999999</v>
      </c>
      <c r="J9" s="19">
        <v>1.2496</v>
      </c>
      <c r="L9" s="19">
        <v>35</v>
      </c>
      <c r="M9" s="19">
        <f t="shared" si="0"/>
        <v>1.006036217303823E-3</v>
      </c>
      <c r="N9" s="19">
        <f t="shared" si="1"/>
        <v>4.0565976504184156E-4</v>
      </c>
    </row>
    <row r="10" spans="2:14" x14ac:dyDescent="0.25">
      <c r="B10" s="19">
        <v>26</v>
      </c>
      <c r="C10" s="19">
        <v>997</v>
      </c>
      <c r="E10" s="19">
        <v>36</v>
      </c>
      <c r="F10" s="19">
        <v>994</v>
      </c>
      <c r="G10" s="19">
        <v>1.5548999999999999</v>
      </c>
      <c r="H10" s="19">
        <v>1.0900000000000001</v>
      </c>
      <c r="I10" s="19">
        <v>1.7197</v>
      </c>
      <c r="J10" s="19">
        <v>1.2456</v>
      </c>
      <c r="L10" s="19">
        <v>36</v>
      </c>
      <c r="M10" s="19">
        <f t="shared" si="0"/>
        <v>1.006036217303823E-3</v>
      </c>
      <c r="N10" s="19">
        <f t="shared" si="1"/>
        <v>4.0565976504184156E-4</v>
      </c>
    </row>
    <row r="11" spans="2:14" x14ac:dyDescent="0.25">
      <c r="B11" s="19">
        <v>27</v>
      </c>
      <c r="C11" s="19">
        <v>997</v>
      </c>
      <c r="E11" s="19">
        <v>37</v>
      </c>
      <c r="F11" s="19">
        <v>993</v>
      </c>
      <c r="G11" s="19">
        <v>1.5499000000000001</v>
      </c>
      <c r="H11" s="19">
        <v>1.0864</v>
      </c>
      <c r="I11" s="19">
        <v>1.7141</v>
      </c>
      <c r="J11" s="19">
        <v>1.2415</v>
      </c>
      <c r="L11" s="19">
        <v>37</v>
      </c>
      <c r="M11" s="19">
        <f t="shared" si="0"/>
        <v>1.0070493454179255E-3</v>
      </c>
      <c r="N11" s="19">
        <f t="shared" si="1"/>
        <v>4.0647804053195978E-4</v>
      </c>
    </row>
    <row r="12" spans="2:14" x14ac:dyDescent="0.25">
      <c r="B12" s="19">
        <v>28</v>
      </c>
      <c r="C12" s="19">
        <v>997</v>
      </c>
      <c r="E12" s="19">
        <v>38</v>
      </c>
      <c r="F12" s="19">
        <v>993</v>
      </c>
      <c r="G12" s="19">
        <v>1.5448999999999999</v>
      </c>
      <c r="H12" s="19">
        <v>1.0829</v>
      </c>
      <c r="I12" s="19">
        <v>1.7084999999999999</v>
      </c>
      <c r="J12" s="19">
        <v>1.2375</v>
      </c>
      <c r="L12" s="19">
        <v>38</v>
      </c>
      <c r="M12" s="19">
        <f t="shared" si="0"/>
        <v>1.0070493454179255E-3</v>
      </c>
      <c r="N12" s="19">
        <f t="shared" si="1"/>
        <v>4.0647804053195978E-4</v>
      </c>
    </row>
    <row r="13" spans="2:14" x14ac:dyDescent="0.25">
      <c r="B13" s="19">
        <v>29</v>
      </c>
      <c r="C13" s="19">
        <v>997</v>
      </c>
      <c r="E13" s="19">
        <v>39</v>
      </c>
      <c r="F13" s="19">
        <v>993</v>
      </c>
      <c r="G13" s="19">
        <v>1.54</v>
      </c>
      <c r="H13" s="19">
        <v>1.0794999999999999</v>
      </c>
      <c r="I13" s="19">
        <v>1.7030000000000001</v>
      </c>
      <c r="J13" s="19">
        <v>1.2336</v>
      </c>
      <c r="L13" s="19">
        <v>39</v>
      </c>
      <c r="M13" s="19">
        <f t="shared" si="0"/>
        <v>1.0070493454179255E-3</v>
      </c>
      <c r="N13" s="19">
        <f t="shared" si="1"/>
        <v>6.1033293661692453E-4</v>
      </c>
    </row>
    <row r="14" spans="2:14" x14ac:dyDescent="0.25">
      <c r="B14" s="19">
        <v>30</v>
      </c>
      <c r="C14" s="19">
        <v>996</v>
      </c>
      <c r="E14" s="19">
        <v>40</v>
      </c>
      <c r="F14" s="19">
        <v>992</v>
      </c>
      <c r="G14" s="19">
        <v>1.5349999999999999</v>
      </c>
      <c r="H14" s="19">
        <v>1.0760000000000001</v>
      </c>
      <c r="I14" s="19">
        <v>1.6975</v>
      </c>
      <c r="J14" s="19">
        <v>1.2296</v>
      </c>
      <c r="L14" s="19">
        <v>40</v>
      </c>
      <c r="M14" s="19">
        <f t="shared" si="0"/>
        <v>1.0080645161290322E-3</v>
      </c>
      <c r="N14" s="19">
        <f t="shared" si="1"/>
        <v>4.0729879439557401E-4</v>
      </c>
    </row>
    <row r="15" spans="2:14" x14ac:dyDescent="0.25">
      <c r="B15" s="19">
        <v>31</v>
      </c>
      <c r="C15" s="19">
        <v>996</v>
      </c>
      <c r="E15" s="19">
        <v>41</v>
      </c>
      <c r="F15" s="19">
        <v>992</v>
      </c>
      <c r="G15" s="19">
        <v>1.5301</v>
      </c>
      <c r="H15" s="19">
        <v>1.0726</v>
      </c>
      <c r="I15" s="19">
        <v>1.6919999999999999</v>
      </c>
      <c r="J15" s="19">
        <v>1.2257</v>
      </c>
      <c r="L15" s="19">
        <v>41</v>
      </c>
      <c r="M15" s="19">
        <f t="shared" si="0"/>
        <v>1.0080645161290322E-3</v>
      </c>
      <c r="N15" s="19">
        <f t="shared" si="1"/>
        <v>6.1156593496201547E-4</v>
      </c>
    </row>
    <row r="16" spans="2:14" x14ac:dyDescent="0.25">
      <c r="B16" s="19">
        <v>32</v>
      </c>
      <c r="C16" s="19">
        <v>995</v>
      </c>
      <c r="E16" s="19">
        <v>42</v>
      </c>
      <c r="F16" s="19">
        <v>991</v>
      </c>
      <c r="G16" s="19">
        <v>1.5253000000000001</v>
      </c>
      <c r="H16" s="19">
        <v>1.0691999999999999</v>
      </c>
      <c r="I16" s="19">
        <v>1.6865000000000001</v>
      </c>
      <c r="J16" s="19">
        <v>1.2218</v>
      </c>
      <c r="L16" s="19">
        <v>42</v>
      </c>
      <c r="M16" s="19">
        <f t="shared" si="0"/>
        <v>1.0090817356205853E-3</v>
      </c>
      <c r="N16" s="19">
        <f t="shared" si="1"/>
        <v>4.0812203665140621E-4</v>
      </c>
    </row>
    <row r="17" spans="2:14" x14ac:dyDescent="0.25">
      <c r="B17" s="19">
        <v>33</v>
      </c>
      <c r="C17" s="19">
        <v>995</v>
      </c>
      <c r="E17" s="19">
        <v>43</v>
      </c>
      <c r="F17" s="19">
        <v>991</v>
      </c>
      <c r="G17" s="19">
        <v>1.5204</v>
      </c>
      <c r="H17" s="19">
        <v>1.0658000000000001</v>
      </c>
      <c r="I17" s="19">
        <v>1.6811</v>
      </c>
      <c r="J17" s="19">
        <v>1.2179</v>
      </c>
      <c r="L17" s="19">
        <v>43</v>
      </c>
      <c r="M17" s="19">
        <f t="shared" si="0"/>
        <v>1.0090817356205853E-3</v>
      </c>
      <c r="N17" s="19">
        <f t="shared" si="1"/>
        <v>4.0812203665140621E-4</v>
      </c>
    </row>
    <row r="18" spans="2:14" x14ac:dyDescent="0.25">
      <c r="B18" s="19">
        <v>34</v>
      </c>
      <c r="C18" s="19">
        <v>994</v>
      </c>
      <c r="E18" s="19">
        <v>44</v>
      </c>
      <c r="F18" s="19">
        <v>990</v>
      </c>
      <c r="G18" s="19">
        <v>1.5156000000000001</v>
      </c>
      <c r="H18" s="19">
        <v>1.0624</v>
      </c>
      <c r="I18" s="19">
        <v>1.6758</v>
      </c>
      <c r="J18" s="19">
        <v>1.2141</v>
      </c>
      <c r="L18" s="19">
        <v>44</v>
      </c>
      <c r="M18" s="19">
        <f t="shared" si="0"/>
        <v>1.0101010101010101E-3</v>
      </c>
      <c r="N18" s="19">
        <f t="shared" si="1"/>
        <v>4.0894777736883228E-4</v>
      </c>
    </row>
    <row r="19" spans="2:14" x14ac:dyDescent="0.25">
      <c r="B19" s="19">
        <v>35</v>
      </c>
      <c r="C19" s="19">
        <v>994</v>
      </c>
      <c r="E19" s="19">
        <v>45</v>
      </c>
      <c r="F19" s="19">
        <v>990</v>
      </c>
      <c r="G19" s="19">
        <v>1.5107999999999999</v>
      </c>
      <c r="H19" s="19">
        <v>1.0590999999999999</v>
      </c>
      <c r="I19" s="19">
        <v>1.6704000000000001</v>
      </c>
      <c r="J19" s="19">
        <v>1.2101999999999999</v>
      </c>
      <c r="L19" s="19">
        <v>45</v>
      </c>
      <c r="M19" s="19">
        <f t="shared" si="0"/>
        <v>1.0101010101010101E-3</v>
      </c>
      <c r="N19" s="19">
        <f t="shared" si="1"/>
        <v>4.0894777736883228E-4</v>
      </c>
    </row>
    <row r="20" spans="2:14" x14ac:dyDescent="0.25">
      <c r="B20" s="19">
        <v>36</v>
      </c>
      <c r="C20" s="19">
        <v>994</v>
      </c>
      <c r="E20" s="19">
        <v>46</v>
      </c>
      <c r="F20" s="19">
        <v>989</v>
      </c>
      <c r="G20" s="19">
        <v>1.5061</v>
      </c>
      <c r="H20" s="19">
        <v>1.0557000000000001</v>
      </c>
      <c r="I20" s="19">
        <v>1.6651</v>
      </c>
      <c r="J20" s="19">
        <v>1.2063999999999999</v>
      </c>
      <c r="L20" s="19">
        <v>46</v>
      </c>
      <c r="M20" s="19">
        <f t="shared" si="0"/>
        <v>1.0111223458038423E-3</v>
      </c>
      <c r="N20" s="19">
        <f t="shared" si="1"/>
        <v>3.7726702046401707E-4</v>
      </c>
    </row>
    <row r="21" spans="2:14" x14ac:dyDescent="0.25">
      <c r="B21" s="19">
        <v>37</v>
      </c>
      <c r="C21" s="19">
        <v>993</v>
      </c>
      <c r="E21" s="19">
        <v>47</v>
      </c>
      <c r="F21" s="19">
        <v>989</v>
      </c>
      <c r="G21" s="19">
        <v>1.5014000000000001</v>
      </c>
      <c r="H21" s="19">
        <v>1.0524</v>
      </c>
      <c r="I21" s="19">
        <v>1.6597999999999999</v>
      </c>
      <c r="J21" s="19">
        <v>1.2027000000000001</v>
      </c>
      <c r="L21" s="19">
        <v>47</v>
      </c>
      <c r="M21" s="19">
        <f t="shared" si="0"/>
        <v>1.0111223458038423E-3</v>
      </c>
      <c r="N21" s="19">
        <f t="shared" si="1"/>
        <v>4.5882437297852338E-4</v>
      </c>
    </row>
    <row r="22" spans="2:14" x14ac:dyDescent="0.25">
      <c r="B22" s="19">
        <v>38</v>
      </c>
      <c r="C22" s="19">
        <v>993</v>
      </c>
      <c r="E22" s="19">
        <v>48</v>
      </c>
      <c r="F22" s="19">
        <v>989</v>
      </c>
      <c r="G22" s="19">
        <v>1.4966999999999999</v>
      </c>
      <c r="H22" s="19">
        <v>1.0490999999999999</v>
      </c>
      <c r="I22" s="19">
        <v>1.6546000000000001</v>
      </c>
      <c r="J22" s="19">
        <v>1.1989000000000001</v>
      </c>
      <c r="L22" s="19">
        <v>48</v>
      </c>
      <c r="M22" s="19">
        <f t="shared" si="0"/>
        <v>1.0111223458038423E-3</v>
      </c>
      <c r="N22" s="19">
        <f t="shared" si="1"/>
        <v>5.1255650772480887E-4</v>
      </c>
    </row>
    <row r="23" spans="2:14" x14ac:dyDescent="0.25">
      <c r="B23" s="19">
        <v>39</v>
      </c>
      <c r="C23" s="19">
        <v>993</v>
      </c>
      <c r="E23" s="19">
        <v>49</v>
      </c>
      <c r="F23" s="19">
        <v>988</v>
      </c>
      <c r="G23" s="19">
        <v>1.492</v>
      </c>
      <c r="H23" s="19">
        <v>1.0459000000000001</v>
      </c>
      <c r="I23" s="19">
        <v>1.6494</v>
      </c>
      <c r="J23" s="19">
        <v>1.1952</v>
      </c>
      <c r="L23" s="19">
        <v>49</v>
      </c>
      <c r="M23" s="19">
        <f t="shared" si="0"/>
        <v>1.0121457489878543E-3</v>
      </c>
      <c r="N23" s="19">
        <f t="shared" si="1"/>
        <v>5.0476757708755433E-4</v>
      </c>
    </row>
    <row r="24" spans="2:14" x14ac:dyDescent="0.25">
      <c r="B24" s="19">
        <v>40</v>
      </c>
      <c r="C24" s="19">
        <v>992</v>
      </c>
      <c r="E24" s="19">
        <v>50</v>
      </c>
      <c r="F24" s="19">
        <v>988</v>
      </c>
      <c r="G24" s="19">
        <v>1.4874000000000001</v>
      </c>
      <c r="H24" s="19">
        <v>1.0426</v>
      </c>
      <c r="I24" s="19">
        <v>1.6442000000000001</v>
      </c>
      <c r="J24" s="19">
        <v>1.1915</v>
      </c>
      <c r="L24" s="19">
        <v>50</v>
      </c>
      <c r="M24" s="19">
        <f t="shared" ref="M24:M54" si="2">1/F24</f>
        <v>1.0121457489878543E-3</v>
      </c>
      <c r="N24" s="19">
        <f t="shared" ref="N24:N32" si="3">(M25-M24)/(L25-L24)*1000</f>
        <v>4.7440000003283987E-4</v>
      </c>
    </row>
    <row r="25" spans="2:14" x14ac:dyDescent="0.25">
      <c r="B25" s="19">
        <v>41</v>
      </c>
      <c r="C25" s="19">
        <v>992</v>
      </c>
      <c r="E25" s="19">
        <v>55</v>
      </c>
      <c r="F25" s="19">
        <v>985.69</v>
      </c>
      <c r="G25" s="19">
        <v>1.4646999999999999</v>
      </c>
      <c r="H25" s="19">
        <v>1.0266999999999999</v>
      </c>
      <c r="I25" s="19">
        <v>1.6189</v>
      </c>
      <c r="J25" s="19">
        <v>1.1733</v>
      </c>
      <c r="L25" s="19">
        <v>55</v>
      </c>
      <c r="M25" s="19">
        <f t="shared" si="2"/>
        <v>1.0145177489880185E-3</v>
      </c>
      <c r="N25" s="19">
        <f t="shared" si="3"/>
        <v>5.1386273290893007E-4</v>
      </c>
    </row>
    <row r="26" spans="2:14" x14ac:dyDescent="0.25">
      <c r="B26" s="19">
        <v>42</v>
      </c>
      <c r="C26" s="19">
        <v>991</v>
      </c>
      <c r="E26" s="19">
        <v>60</v>
      </c>
      <c r="F26" s="19">
        <v>983.2</v>
      </c>
      <c r="G26" s="19">
        <v>1.4427000000000001</v>
      </c>
      <c r="H26" s="19">
        <v>1.0113000000000001</v>
      </c>
      <c r="I26" s="19">
        <v>1.5943000000000001</v>
      </c>
      <c r="J26" s="19">
        <v>1.1556</v>
      </c>
      <c r="L26" s="19">
        <v>60</v>
      </c>
      <c r="M26" s="19">
        <f t="shared" si="2"/>
        <v>1.0170870626525631E-3</v>
      </c>
      <c r="N26" s="19">
        <f t="shared" si="3"/>
        <v>5.4974875652018945E-4</v>
      </c>
    </row>
    <row r="27" spans="2:14" x14ac:dyDescent="0.25">
      <c r="B27" s="19">
        <v>43</v>
      </c>
      <c r="C27" s="19">
        <v>991</v>
      </c>
      <c r="E27" s="19">
        <v>65</v>
      </c>
      <c r="F27" s="19">
        <v>980.55</v>
      </c>
      <c r="G27" s="19">
        <v>1.4213</v>
      </c>
      <c r="H27" s="19">
        <v>0.99631000000000003</v>
      </c>
      <c r="I27" s="19">
        <v>1.5705</v>
      </c>
      <c r="J27" s="19">
        <v>1.1385000000000001</v>
      </c>
      <c r="L27" s="19">
        <v>65</v>
      </c>
      <c r="M27" s="19">
        <f t="shared" si="2"/>
        <v>1.0198358064351641E-3</v>
      </c>
      <c r="N27" s="19">
        <f t="shared" si="3"/>
        <v>5.8201233430576864E-4</v>
      </c>
    </row>
    <row r="28" spans="2:14" x14ac:dyDescent="0.25">
      <c r="B28" s="19">
        <v>44</v>
      </c>
      <c r="C28" s="19">
        <v>990</v>
      </c>
      <c r="E28" s="19">
        <v>70</v>
      </c>
      <c r="F28" s="19">
        <v>977.76</v>
      </c>
      <c r="G28" s="19">
        <v>1.4005000000000001</v>
      </c>
      <c r="H28" s="19">
        <v>0.98177000000000003</v>
      </c>
      <c r="I28" s="19">
        <v>1.5472999999999999</v>
      </c>
      <c r="J28" s="19">
        <v>1.1218999999999999</v>
      </c>
      <c r="L28" s="19">
        <v>70</v>
      </c>
      <c r="M28" s="19">
        <f t="shared" si="2"/>
        <v>1.0227458681066929E-3</v>
      </c>
      <c r="N28" s="19">
        <f t="shared" si="3"/>
        <v>6.1269909623559715E-4</v>
      </c>
    </row>
    <row r="29" spans="2:14" x14ac:dyDescent="0.25">
      <c r="B29" s="19">
        <v>45</v>
      </c>
      <c r="C29" s="19">
        <v>990</v>
      </c>
      <c r="E29" s="19">
        <v>75</v>
      </c>
      <c r="F29" s="19">
        <v>974.84</v>
      </c>
      <c r="G29" s="19">
        <v>1.3804000000000001</v>
      </c>
      <c r="H29" s="19">
        <f>0.96764</f>
        <v>0.96763999999999994</v>
      </c>
      <c r="I29" s="19">
        <v>1.5248999999999999</v>
      </c>
      <c r="J29" s="19">
        <v>1.1056999999999999</v>
      </c>
      <c r="L29" s="19">
        <v>75</v>
      </c>
      <c r="M29" s="19">
        <f t="shared" si="2"/>
        <v>1.0258093635878709E-3</v>
      </c>
      <c r="N29" s="19">
        <f t="shared" si="3"/>
        <v>6.439083668164855E-4</v>
      </c>
    </row>
    <row r="30" spans="2:14" x14ac:dyDescent="0.25">
      <c r="B30" s="19">
        <v>46</v>
      </c>
      <c r="C30" s="19">
        <v>989</v>
      </c>
      <c r="E30" s="19">
        <v>80</v>
      </c>
      <c r="F30" s="19">
        <v>971.79</v>
      </c>
      <c r="G30" s="19">
        <v>1.3608</v>
      </c>
      <c r="H30" s="19">
        <v>0.95391999999999999</v>
      </c>
      <c r="I30" s="19">
        <v>1.5031000000000001</v>
      </c>
      <c r="J30" s="19">
        <v>1.0900000000000001</v>
      </c>
      <c r="L30" s="19">
        <v>80</v>
      </c>
      <c r="M30" s="19">
        <f t="shared" si="2"/>
        <v>1.0290289054219533E-3</v>
      </c>
      <c r="N30" s="19">
        <f t="shared" si="3"/>
        <v>6.7567171911126107E-4</v>
      </c>
    </row>
    <row r="31" spans="2:14" x14ac:dyDescent="0.25">
      <c r="B31" s="19">
        <v>47</v>
      </c>
      <c r="C31" s="19">
        <v>989</v>
      </c>
      <c r="E31" s="19">
        <v>85</v>
      </c>
      <c r="F31" s="19">
        <v>968.61</v>
      </c>
      <c r="G31" s="19">
        <v>1.3418000000000001</v>
      </c>
      <c r="H31" s="19">
        <v>0.94059000000000004</v>
      </c>
      <c r="I31" s="19">
        <v>1.4819</v>
      </c>
      <c r="J31" s="19">
        <v>1.0748</v>
      </c>
      <c r="L31" s="19">
        <v>85</v>
      </c>
      <c r="M31" s="19">
        <f t="shared" si="2"/>
        <v>1.0324072640175096E-3</v>
      </c>
      <c r="N31" s="19">
        <f t="shared" si="3"/>
        <v>7.0587561949173386E-4</v>
      </c>
    </row>
    <row r="32" spans="2:14" x14ac:dyDescent="0.25">
      <c r="B32" s="19">
        <v>48</v>
      </c>
      <c r="C32" s="19">
        <v>989</v>
      </c>
      <c r="E32" s="19">
        <v>90</v>
      </c>
      <c r="F32" s="19">
        <v>965.31</v>
      </c>
      <c r="G32" s="19">
        <v>1.3232999999999999</v>
      </c>
      <c r="H32" s="19">
        <v>0.92762</v>
      </c>
      <c r="I32" s="19">
        <v>1.4613</v>
      </c>
      <c r="J32" s="19">
        <v>1.06</v>
      </c>
      <c r="L32" s="19">
        <v>90</v>
      </c>
      <c r="M32" s="19">
        <f t="shared" si="2"/>
        <v>1.0359366421149683E-3</v>
      </c>
      <c r="N32" s="19">
        <f t="shared" si="3"/>
        <v>7.366545688245428E-4</v>
      </c>
    </row>
    <row r="33" spans="2:14" x14ac:dyDescent="0.25">
      <c r="B33" s="19">
        <v>49</v>
      </c>
      <c r="C33" s="19">
        <v>988</v>
      </c>
      <c r="E33" s="19">
        <v>95</v>
      </c>
      <c r="F33" s="19">
        <v>961.89</v>
      </c>
      <c r="G33" s="19">
        <v>1.3052999999999999</v>
      </c>
      <c r="H33" s="19">
        <v>0.91500999999999999</v>
      </c>
      <c r="I33" s="19">
        <v>1.4413</v>
      </c>
      <c r="J33" s="19">
        <v>1.0455000000000001</v>
      </c>
      <c r="L33" s="19">
        <v>95</v>
      </c>
      <c r="M33" s="19">
        <f t="shared" si="2"/>
        <v>1.039619914959091E-3</v>
      </c>
      <c r="N33" s="19">
        <f t="shared" ref="N33:N53" si="4">(M34-M33)/(L34-L33)</f>
        <v>0.33857989320710202</v>
      </c>
    </row>
    <row r="34" spans="2:14" x14ac:dyDescent="0.25">
      <c r="B34" s="19">
        <v>50</v>
      </c>
      <c r="C34" s="19">
        <v>988</v>
      </c>
      <c r="E34" s="19">
        <v>100</v>
      </c>
      <c r="F34" s="19">
        <v>0.59033999999999998</v>
      </c>
      <c r="G34" s="19">
        <v>1.2877000000000001</v>
      </c>
      <c r="H34" s="19">
        <v>0.90273000000000003</v>
      </c>
      <c r="I34" s="19">
        <v>1.4218</v>
      </c>
      <c r="J34" s="19">
        <v>1.0315000000000001</v>
      </c>
      <c r="L34" s="19">
        <v>100</v>
      </c>
      <c r="M34" s="19">
        <f t="shared" si="2"/>
        <v>1.6939390859504693</v>
      </c>
      <c r="N34" s="19">
        <f t="shared" si="4"/>
        <v>5.2863652036302614E-3</v>
      </c>
    </row>
    <row r="35" spans="2:14" x14ac:dyDescent="0.25">
      <c r="B35" s="19">
        <v>51</v>
      </c>
      <c r="C35" s="19">
        <v>987</v>
      </c>
      <c r="E35" s="19">
        <v>105</v>
      </c>
      <c r="F35" s="19">
        <v>0.58126999999999995</v>
      </c>
      <c r="G35" s="19">
        <v>1.2706999999999999</v>
      </c>
      <c r="H35" s="19">
        <v>0.89078000000000002</v>
      </c>
      <c r="I35" s="19">
        <v>1.4029</v>
      </c>
      <c r="J35" s="19">
        <v>1.0178</v>
      </c>
      <c r="L35" s="19">
        <v>105</v>
      </c>
      <c r="M35" s="19">
        <f t="shared" si="2"/>
        <v>1.7203709119686206</v>
      </c>
      <c r="N35" s="19">
        <f t="shared" si="4"/>
        <v>4.8746093710843484E-3</v>
      </c>
    </row>
    <row r="36" spans="2:14" x14ac:dyDescent="0.25">
      <c r="B36" s="19">
        <v>52</v>
      </c>
      <c r="C36" s="19">
        <v>987</v>
      </c>
      <c r="E36" s="19">
        <v>110</v>
      </c>
      <c r="F36" s="19">
        <v>0.57315000000000005</v>
      </c>
      <c r="G36" s="19">
        <v>1.2541</v>
      </c>
      <c r="H36" s="19">
        <v>0.87914000000000003</v>
      </c>
      <c r="I36" s="19">
        <v>1.3844000000000001</v>
      </c>
      <c r="J36" s="19">
        <v>1.0044999999999999</v>
      </c>
      <c r="L36" s="19">
        <v>110</v>
      </c>
      <c r="M36" s="19">
        <f t="shared" si="2"/>
        <v>1.7447439588240423</v>
      </c>
      <c r="N36" s="19">
        <f t="shared" si="4"/>
        <v>4.8519122985926531E-3</v>
      </c>
    </row>
    <row r="37" spans="2:14" x14ac:dyDescent="0.25">
      <c r="B37" s="19">
        <v>53</v>
      </c>
      <c r="C37" s="19">
        <v>987</v>
      </c>
      <c r="E37" s="19">
        <v>115</v>
      </c>
      <c r="F37" s="19">
        <v>0.56528999999999996</v>
      </c>
      <c r="G37" s="19">
        <v>1.2379</v>
      </c>
      <c r="H37" s="19">
        <v>0.86780999999999997</v>
      </c>
      <c r="I37" s="19">
        <v>1.3664000000000001</v>
      </c>
      <c r="J37" s="19">
        <v>0.99158999999999997</v>
      </c>
      <c r="L37" s="19">
        <v>115</v>
      </c>
      <c r="M37" s="19">
        <f t="shared" si="2"/>
        <v>1.7690035203170056</v>
      </c>
      <c r="N37" s="19">
        <f t="shared" si="4"/>
        <v>4.8343309931735412E-3</v>
      </c>
    </row>
    <row r="38" spans="2:14" x14ac:dyDescent="0.25">
      <c r="B38" s="19">
        <v>54</v>
      </c>
      <c r="C38" s="19">
        <v>986</v>
      </c>
      <c r="E38" s="19">
        <v>120</v>
      </c>
      <c r="F38" s="19">
        <v>0.55767</v>
      </c>
      <c r="G38" s="19">
        <v>1.2221</v>
      </c>
      <c r="H38" s="19">
        <v>0.85675999999999997</v>
      </c>
      <c r="I38" s="19">
        <v>1.3489</v>
      </c>
      <c r="J38" s="19">
        <v>0.97896000000000005</v>
      </c>
      <c r="L38" s="19">
        <v>120</v>
      </c>
      <c r="M38" s="19">
        <f t="shared" si="2"/>
        <v>1.7931751752828733</v>
      </c>
      <c r="N38" s="19">
        <f t="shared" si="4"/>
        <v>4.8162988098206403E-3</v>
      </c>
    </row>
    <row r="39" spans="2:14" x14ac:dyDescent="0.25">
      <c r="B39" s="19">
        <v>55</v>
      </c>
      <c r="C39" s="19">
        <v>986</v>
      </c>
      <c r="E39" s="19">
        <v>125</v>
      </c>
      <c r="F39" s="19">
        <v>0.55027999999999999</v>
      </c>
      <c r="G39" s="19">
        <v>1.2068000000000001</v>
      </c>
      <c r="H39" s="19">
        <v>0.84599000000000002</v>
      </c>
      <c r="I39" s="19">
        <v>1.3319000000000001</v>
      </c>
      <c r="J39" s="19">
        <v>0.96665000000000001</v>
      </c>
      <c r="L39" s="19">
        <v>125</v>
      </c>
      <c r="M39" s="19">
        <f t="shared" si="2"/>
        <v>1.8172566693319765</v>
      </c>
      <c r="N39" s="19">
        <f t="shared" si="4"/>
        <v>4.7981920123401521E-3</v>
      </c>
    </row>
    <row r="40" spans="2:14" x14ac:dyDescent="0.25">
      <c r="B40" s="19">
        <v>56</v>
      </c>
      <c r="C40" s="19">
        <v>985</v>
      </c>
      <c r="E40" s="19">
        <v>130</v>
      </c>
      <c r="F40" s="19">
        <v>0.54310999999999998</v>
      </c>
      <c r="G40" s="19">
        <v>1.1918</v>
      </c>
      <c r="H40" s="19">
        <v>0.83548999999999995</v>
      </c>
      <c r="I40" s="19">
        <v>1.3152999999999999</v>
      </c>
      <c r="J40" s="19">
        <v>0.95465</v>
      </c>
      <c r="L40" s="19">
        <v>130</v>
      </c>
      <c r="M40" s="19">
        <f t="shared" si="2"/>
        <v>1.8412476293936773</v>
      </c>
      <c r="N40" s="19">
        <f t="shared" si="4"/>
        <v>4.7873674700167788E-3</v>
      </c>
    </row>
    <row r="41" spans="2:14" x14ac:dyDescent="0.25">
      <c r="B41" s="19">
        <v>57</v>
      </c>
      <c r="C41" s="19">
        <v>985</v>
      </c>
      <c r="E41" s="19">
        <v>135</v>
      </c>
      <c r="F41" s="19">
        <v>0.53613999999999995</v>
      </c>
      <c r="G41" s="19">
        <v>1.1772</v>
      </c>
      <c r="H41" s="19">
        <v>0.82525000000000004</v>
      </c>
      <c r="I41" s="19">
        <v>1.2989999999999999</v>
      </c>
      <c r="J41" s="19">
        <v>0.94294</v>
      </c>
      <c r="L41" s="19">
        <v>135</v>
      </c>
      <c r="M41" s="19">
        <f t="shared" si="2"/>
        <v>1.8651844667437611</v>
      </c>
      <c r="N41" s="19">
        <f t="shared" si="4"/>
        <v>4.7778263127257418E-3</v>
      </c>
    </row>
    <row r="42" spans="2:14" x14ac:dyDescent="0.25">
      <c r="B42" s="19">
        <v>58</v>
      </c>
      <c r="C42" s="19">
        <v>984</v>
      </c>
      <c r="E42" s="19">
        <v>140</v>
      </c>
      <c r="F42" s="19">
        <v>0.52936000000000005</v>
      </c>
      <c r="G42" s="19">
        <v>1.1629</v>
      </c>
      <c r="H42" s="19">
        <v>0.81525000000000003</v>
      </c>
      <c r="I42" s="19">
        <v>1.2831999999999999</v>
      </c>
      <c r="J42" s="19">
        <v>0.93150999999999995</v>
      </c>
      <c r="L42" s="19">
        <v>140</v>
      </c>
      <c r="M42" s="19">
        <f t="shared" si="2"/>
        <v>1.8890735983073899</v>
      </c>
      <c r="N42" s="19">
        <f t="shared" si="4"/>
        <v>4.7627044447255519E-3</v>
      </c>
    </row>
    <row r="43" spans="2:14" x14ac:dyDescent="0.25">
      <c r="B43" s="19">
        <v>59</v>
      </c>
      <c r="C43" s="19">
        <v>984</v>
      </c>
      <c r="E43" s="19">
        <v>145</v>
      </c>
      <c r="F43" s="19">
        <v>0.52276999999999996</v>
      </c>
      <c r="G43" s="19">
        <v>1.149</v>
      </c>
      <c r="H43" s="19">
        <v>0.80549999999999999</v>
      </c>
      <c r="I43" s="19">
        <v>1.2678</v>
      </c>
      <c r="J43" s="19">
        <v>0.92035999999999996</v>
      </c>
      <c r="L43" s="19">
        <v>145</v>
      </c>
      <c r="M43" s="19">
        <f t="shared" si="2"/>
        <v>1.9128871205310176</v>
      </c>
      <c r="N43" s="19">
        <f t="shared" si="4"/>
        <v>4.7492472083831673E-3</v>
      </c>
    </row>
    <row r="44" spans="2:14" x14ac:dyDescent="0.25">
      <c r="B44" s="19">
        <v>60</v>
      </c>
      <c r="C44" s="19">
        <v>983</v>
      </c>
      <c r="E44" s="19">
        <v>150</v>
      </c>
      <c r="F44" s="19">
        <v>0.51636000000000004</v>
      </c>
      <c r="G44" s="19">
        <v>1.1354</v>
      </c>
      <c r="H44" s="19">
        <v>0.79596999999999996</v>
      </c>
      <c r="I44" s="19">
        <v>1.2526999999999999</v>
      </c>
      <c r="J44" s="19">
        <v>0.90947</v>
      </c>
      <c r="L44" s="19">
        <v>150</v>
      </c>
      <c r="M44" s="19">
        <f t="shared" si="2"/>
        <v>1.9366333565729335</v>
      </c>
      <c r="N44" s="19">
        <f t="shared" si="4"/>
        <v>4.7456268171888636E-3</v>
      </c>
    </row>
    <row r="45" spans="2:14" x14ac:dyDescent="0.25">
      <c r="B45" s="19">
        <v>61</v>
      </c>
      <c r="C45" s="19">
        <v>983</v>
      </c>
      <c r="E45" s="19">
        <f>5+E44</f>
        <v>155</v>
      </c>
      <c r="F45" s="19">
        <v>0.51010999999999995</v>
      </c>
      <c r="G45" s="19">
        <v>1.1221000000000001</v>
      </c>
      <c r="H45" s="19">
        <v>0.78666999999999998</v>
      </c>
      <c r="I45" s="19">
        <v>1.238</v>
      </c>
      <c r="J45" s="19">
        <v>0.89883999999999997</v>
      </c>
      <c r="L45" s="19">
        <f>5+L44</f>
        <v>155</v>
      </c>
      <c r="M45" s="19">
        <f t="shared" si="2"/>
        <v>1.9603614906588778</v>
      </c>
      <c r="N45" s="19">
        <f t="shared" si="4"/>
        <v>4.7373522789224244E-3</v>
      </c>
    </row>
    <row r="46" spans="2:14" x14ac:dyDescent="0.25">
      <c r="B46" s="19">
        <v>62</v>
      </c>
      <c r="C46" s="19">
        <v>982</v>
      </c>
      <c r="E46" s="19">
        <f t="shared" ref="E46:E53" si="5">5+E45</f>
        <v>160</v>
      </c>
      <c r="F46" s="19">
        <v>0.50402000000000002</v>
      </c>
      <c r="G46" s="19">
        <v>1.1092</v>
      </c>
      <c r="H46" s="19">
        <v>0.77758000000000005</v>
      </c>
      <c r="I46" s="19">
        <v>1.2237</v>
      </c>
      <c r="J46" s="19">
        <v>0.88846000000000003</v>
      </c>
      <c r="L46" s="19">
        <f t="shared" ref="L46:L53" si="6">5+L45</f>
        <v>160</v>
      </c>
      <c r="M46" s="19">
        <f t="shared" si="2"/>
        <v>1.9840482520534899</v>
      </c>
      <c r="N46" s="19">
        <f t="shared" si="4"/>
        <v>4.7322705658519922E-3</v>
      </c>
    </row>
    <row r="47" spans="2:14" x14ac:dyDescent="0.25">
      <c r="B47" s="19">
        <v>63</v>
      </c>
      <c r="C47" s="19">
        <v>982</v>
      </c>
      <c r="E47" s="19">
        <f t="shared" si="5"/>
        <v>165</v>
      </c>
      <c r="F47" s="19">
        <v>0.49808000000000002</v>
      </c>
      <c r="G47" s="19">
        <v>1.0965</v>
      </c>
      <c r="H47" s="19">
        <v>0.76870000000000005</v>
      </c>
      <c r="I47" s="19">
        <v>1.2096</v>
      </c>
      <c r="J47" s="19">
        <v>0.87831000000000004</v>
      </c>
      <c r="L47" s="19">
        <f t="shared" si="6"/>
        <v>165</v>
      </c>
      <c r="M47" s="19">
        <f t="shared" si="2"/>
        <v>2.0077096048827499</v>
      </c>
      <c r="N47" s="19">
        <f t="shared" si="4"/>
        <v>4.7226791575173625E-3</v>
      </c>
    </row>
    <row r="48" spans="2:14" x14ac:dyDescent="0.25">
      <c r="B48" s="19">
        <v>64</v>
      </c>
      <c r="C48" s="19">
        <v>981</v>
      </c>
      <c r="E48" s="19">
        <f t="shared" si="5"/>
        <v>170</v>
      </c>
      <c r="F48" s="19">
        <v>0.49229000000000001</v>
      </c>
      <c r="G48" s="19">
        <v>1.0841000000000001</v>
      </c>
      <c r="H48" s="19">
        <v>0.76002999999999998</v>
      </c>
      <c r="I48" s="19">
        <v>1.1959</v>
      </c>
      <c r="J48" s="19">
        <v>0.86839</v>
      </c>
      <c r="L48" s="19">
        <f t="shared" si="6"/>
        <v>170</v>
      </c>
      <c r="M48" s="19">
        <f t="shared" si="2"/>
        <v>2.0313230006703367</v>
      </c>
      <c r="N48" s="19">
        <f t="shared" si="4"/>
        <v>4.7168235055841555E-3</v>
      </c>
    </row>
    <row r="49" spans="2:14" x14ac:dyDescent="0.25">
      <c r="B49" s="19">
        <v>65</v>
      </c>
      <c r="C49" s="19">
        <v>981</v>
      </c>
      <c r="E49" s="19">
        <f t="shared" si="5"/>
        <v>175</v>
      </c>
      <c r="F49" s="19">
        <v>0.48664000000000002</v>
      </c>
      <c r="G49" s="19">
        <v>1.0720000000000001</v>
      </c>
      <c r="H49" s="19">
        <v>0.75153999999999999</v>
      </c>
      <c r="I49" s="19">
        <v>1.1825000000000001</v>
      </c>
      <c r="J49" s="19">
        <v>0.85868999999999995</v>
      </c>
      <c r="L49" s="19">
        <f t="shared" si="6"/>
        <v>175</v>
      </c>
      <c r="M49" s="19">
        <f t="shared" si="2"/>
        <v>2.0549071181982574</v>
      </c>
      <c r="N49" s="19">
        <f t="shared" si="4"/>
        <v>4.7066440343659366E-3</v>
      </c>
    </row>
    <row r="50" spans="2:14" x14ac:dyDescent="0.25">
      <c r="B50" s="19">
        <v>66</v>
      </c>
      <c r="C50" s="19">
        <v>980</v>
      </c>
      <c r="E50" s="19">
        <f t="shared" si="5"/>
        <v>180</v>
      </c>
      <c r="F50" s="19">
        <v>0.48113</v>
      </c>
      <c r="G50" s="19">
        <v>1.0602</v>
      </c>
      <c r="H50" s="19">
        <v>0.74324999999999997</v>
      </c>
      <c r="I50" s="19">
        <v>1.1694</v>
      </c>
      <c r="J50" s="19">
        <v>0.84921000000000002</v>
      </c>
      <c r="L50" s="19">
        <f t="shared" si="6"/>
        <v>180</v>
      </c>
      <c r="M50" s="19">
        <f t="shared" si="2"/>
        <v>2.0784403383700871</v>
      </c>
      <c r="N50" s="19">
        <f t="shared" si="4"/>
        <v>4.7096285466072807E-3</v>
      </c>
    </row>
    <row r="51" spans="2:14" x14ac:dyDescent="0.25">
      <c r="B51" s="19">
        <v>67</v>
      </c>
      <c r="C51" s="19">
        <v>979</v>
      </c>
      <c r="E51" s="19">
        <f t="shared" si="5"/>
        <v>185</v>
      </c>
      <c r="F51" s="19">
        <v>0.47574</v>
      </c>
      <c r="G51" s="19">
        <v>1.0486</v>
      </c>
      <c r="H51" s="19">
        <v>0.73512999999999995</v>
      </c>
      <c r="I51" s="19">
        <v>1.1694</v>
      </c>
      <c r="J51" s="19">
        <v>0.83992999999999995</v>
      </c>
      <c r="L51" s="19">
        <f t="shared" si="6"/>
        <v>185</v>
      </c>
      <c r="M51" s="19">
        <f t="shared" si="2"/>
        <v>2.1019884811031235</v>
      </c>
      <c r="N51" s="19">
        <f t="shared" si="4"/>
        <v>4.7000762670474927E-3</v>
      </c>
    </row>
    <row r="52" spans="2:14" x14ac:dyDescent="0.25">
      <c r="B52" s="19">
        <v>68</v>
      </c>
      <c r="C52" s="19">
        <v>979</v>
      </c>
      <c r="E52" s="19">
        <f>5+E51</f>
        <v>190</v>
      </c>
      <c r="F52" s="19">
        <v>0.47048000000000001</v>
      </c>
      <c r="G52" s="19">
        <v>1.0373000000000001</v>
      </c>
      <c r="H52" s="19">
        <v>0.72719</v>
      </c>
      <c r="I52" s="19">
        <v>1.1566000000000001</v>
      </c>
      <c r="J52" s="19">
        <v>0.83086000000000004</v>
      </c>
      <c r="L52" s="19">
        <f>5+L51</f>
        <v>190</v>
      </c>
      <c r="M52" s="19">
        <f t="shared" si="2"/>
        <v>2.125488862438361</v>
      </c>
      <c r="N52" s="19">
        <f t="shared" si="4"/>
        <v>4.6954969497284612E-3</v>
      </c>
    </row>
    <row r="53" spans="2:14" x14ac:dyDescent="0.25">
      <c r="B53" s="19">
        <v>69</v>
      </c>
      <c r="C53" s="19">
        <v>978</v>
      </c>
      <c r="E53" s="19">
        <f t="shared" si="5"/>
        <v>195</v>
      </c>
      <c r="F53" s="19">
        <v>0.46533999999999998</v>
      </c>
      <c r="G53" s="19">
        <v>1.0262</v>
      </c>
      <c r="H53" s="19">
        <v>0.71941999999999995</v>
      </c>
      <c r="I53" s="19">
        <v>1.1317999999999999</v>
      </c>
      <c r="J53" s="19">
        <v>0.82198000000000004</v>
      </c>
      <c r="L53" s="19">
        <f t="shared" si="6"/>
        <v>195</v>
      </c>
      <c r="M53" s="19">
        <f t="shared" si="2"/>
        <v>2.1489663471870033</v>
      </c>
      <c r="N53" s="19">
        <f t="shared" si="4"/>
        <v>4.6965309145361013E-3</v>
      </c>
    </row>
    <row r="54" spans="2:14" x14ac:dyDescent="0.25">
      <c r="B54" s="19">
        <v>70</v>
      </c>
      <c r="C54" s="19">
        <v>978</v>
      </c>
      <c r="E54" s="19">
        <f>5+E53</f>
        <v>200</v>
      </c>
      <c r="F54" s="19">
        <v>0.46031</v>
      </c>
      <c r="G54" s="19">
        <v>1.0153000000000001</v>
      </c>
      <c r="H54" s="19">
        <v>0.71181000000000005</v>
      </c>
      <c r="I54" s="19">
        <v>1.1197999999999999</v>
      </c>
      <c r="J54" s="19">
        <v>0.81328999999999996</v>
      </c>
      <c r="L54" s="19">
        <f>5+L53</f>
        <v>200</v>
      </c>
      <c r="M54" s="19">
        <f t="shared" si="2"/>
        <v>2.1724490017596838</v>
      </c>
      <c r="N54" s="19" t="e">
        <f>(#REF!-M54)/(#REF!-L54)</f>
        <v>#REF!</v>
      </c>
    </row>
    <row r="55" spans="2:14" x14ac:dyDescent="0.25">
      <c r="B55" s="19">
        <v>71</v>
      </c>
      <c r="C55" s="19">
        <v>977</v>
      </c>
    </row>
    <row r="56" spans="2:14" x14ac:dyDescent="0.25">
      <c r="B56" s="19">
        <v>72</v>
      </c>
      <c r="C56" s="19">
        <v>977</v>
      </c>
    </row>
    <row r="57" spans="2:14" x14ac:dyDescent="0.25">
      <c r="B57" s="19">
        <v>73</v>
      </c>
      <c r="C57" s="19">
        <v>976</v>
      </c>
    </row>
    <row r="58" spans="2:14" x14ac:dyDescent="0.25">
      <c r="B58" s="19">
        <v>74</v>
      </c>
      <c r="C58" s="19">
        <v>975</v>
      </c>
    </row>
    <row r="59" spans="2:14" x14ac:dyDescent="0.25">
      <c r="B59" s="19">
        <v>75</v>
      </c>
      <c r="C59" s="19">
        <v>975</v>
      </c>
    </row>
    <row r="60" spans="2:14" x14ac:dyDescent="0.25">
      <c r="B60" s="19">
        <v>76</v>
      </c>
      <c r="C60" s="19">
        <v>974</v>
      </c>
    </row>
    <row r="61" spans="2:14" x14ac:dyDescent="0.25">
      <c r="B61" s="19">
        <v>77</v>
      </c>
      <c r="C61" s="19">
        <v>974</v>
      </c>
    </row>
    <row r="62" spans="2:14" x14ac:dyDescent="0.25">
      <c r="B62" s="19">
        <v>78</v>
      </c>
      <c r="C62" s="19">
        <v>973</v>
      </c>
    </row>
    <row r="63" spans="2:14" x14ac:dyDescent="0.25">
      <c r="B63" s="19">
        <v>79</v>
      </c>
      <c r="C63" s="19">
        <v>972</v>
      </c>
    </row>
    <row r="64" spans="2:14" x14ac:dyDescent="0.25">
      <c r="B64" s="19">
        <v>80</v>
      </c>
      <c r="C64" s="19">
        <v>972</v>
      </c>
    </row>
    <row r="65" spans="2:3" x14ac:dyDescent="0.25">
      <c r="B65" s="19">
        <v>81</v>
      </c>
      <c r="C65" s="19">
        <v>971</v>
      </c>
    </row>
    <row r="66" spans="2:3" x14ac:dyDescent="0.25">
      <c r="B66" s="19">
        <v>82</v>
      </c>
      <c r="C66" s="19">
        <v>971</v>
      </c>
    </row>
    <row r="67" spans="2:3" x14ac:dyDescent="0.25">
      <c r="B67" s="19">
        <v>83</v>
      </c>
      <c r="C67" s="19">
        <v>970</v>
      </c>
    </row>
    <row r="68" spans="2:3" x14ac:dyDescent="0.25">
      <c r="B68" s="19">
        <v>84</v>
      </c>
      <c r="C68" s="19">
        <v>969</v>
      </c>
    </row>
    <row r="69" spans="2:3" x14ac:dyDescent="0.25">
      <c r="B69" s="19">
        <v>85</v>
      </c>
      <c r="C69" s="19">
        <v>969</v>
      </c>
    </row>
    <row r="70" spans="2:3" x14ac:dyDescent="0.25">
      <c r="B70" s="19">
        <v>86</v>
      </c>
      <c r="C70" s="19">
        <v>968</v>
      </c>
    </row>
    <row r="71" spans="2:3" x14ac:dyDescent="0.25">
      <c r="B71" s="19">
        <v>87</v>
      </c>
      <c r="C71" s="19">
        <v>967</v>
      </c>
    </row>
    <row r="72" spans="2:3" x14ac:dyDescent="0.25">
      <c r="B72" s="19">
        <v>88</v>
      </c>
      <c r="C72" s="19">
        <v>967</v>
      </c>
    </row>
    <row r="73" spans="2:3" x14ac:dyDescent="0.25">
      <c r="B73" s="19">
        <v>89</v>
      </c>
      <c r="C73" s="19">
        <v>966</v>
      </c>
    </row>
    <row r="74" spans="2:3" x14ac:dyDescent="0.25">
      <c r="B74" s="19">
        <v>90</v>
      </c>
      <c r="C74" s="19">
        <v>965</v>
      </c>
    </row>
    <row r="75" spans="2:3" x14ac:dyDescent="0.25">
      <c r="B75" s="19">
        <v>91</v>
      </c>
      <c r="C75" s="19">
        <v>965</v>
      </c>
    </row>
    <row r="76" spans="2:3" x14ac:dyDescent="0.25">
      <c r="B76" s="19">
        <v>92</v>
      </c>
      <c r="C76" s="19">
        <v>964</v>
      </c>
    </row>
    <row r="77" spans="2:3" x14ac:dyDescent="0.25">
      <c r="B77" s="19">
        <v>93</v>
      </c>
      <c r="C77" s="19">
        <v>963</v>
      </c>
    </row>
    <row r="78" spans="2:3" x14ac:dyDescent="0.25">
      <c r="B78" s="19">
        <v>94</v>
      </c>
      <c r="C78" s="19">
        <v>963</v>
      </c>
    </row>
    <row r="79" spans="2:3" x14ac:dyDescent="0.25">
      <c r="B79" s="19">
        <v>95</v>
      </c>
      <c r="C79" s="19">
        <v>962</v>
      </c>
    </row>
    <row r="80" spans="2:3" x14ac:dyDescent="0.25">
      <c r="B80" s="19">
        <v>96</v>
      </c>
      <c r="C80" s="19">
        <v>961</v>
      </c>
    </row>
    <row r="81" spans="2:3" x14ac:dyDescent="0.25">
      <c r="B81" s="19">
        <v>97</v>
      </c>
      <c r="C81" s="19">
        <v>960</v>
      </c>
    </row>
    <row r="82" spans="2:3" x14ac:dyDescent="0.25">
      <c r="B82" s="19">
        <v>98</v>
      </c>
      <c r="C82" s="19">
        <v>960</v>
      </c>
    </row>
    <row r="83" spans="2:3" x14ac:dyDescent="0.25">
      <c r="B83" s="19">
        <v>99</v>
      </c>
      <c r="C83" s="19">
        <v>959</v>
      </c>
    </row>
    <row r="84" spans="2:3" x14ac:dyDescent="0.25">
      <c r="B84" s="19">
        <v>100</v>
      </c>
      <c r="C84" s="19">
        <v>958</v>
      </c>
    </row>
    <row r="85" spans="2:3" x14ac:dyDescent="0.25">
      <c r="B85" s="19">
        <v>101</v>
      </c>
      <c r="C85" s="19">
        <v>958</v>
      </c>
    </row>
    <row r="86" spans="2:3" x14ac:dyDescent="0.25">
      <c r="B86" s="19">
        <v>102</v>
      </c>
      <c r="C86" s="19">
        <v>957</v>
      </c>
    </row>
    <row r="87" spans="2:3" x14ac:dyDescent="0.25">
      <c r="B87" s="19">
        <v>103</v>
      </c>
      <c r="C87" s="19">
        <v>956</v>
      </c>
    </row>
    <row r="88" spans="2:3" x14ac:dyDescent="0.25">
      <c r="B88" s="19">
        <v>104</v>
      </c>
      <c r="C88" s="19">
        <v>955</v>
      </c>
    </row>
    <row r="89" spans="2:3" x14ac:dyDescent="0.25">
      <c r="B89" s="19">
        <v>105</v>
      </c>
      <c r="C89" s="19">
        <v>955</v>
      </c>
    </row>
    <row r="90" spans="2:3" x14ac:dyDescent="0.25">
      <c r="B90" s="19">
        <v>106</v>
      </c>
      <c r="C90" s="19">
        <v>954</v>
      </c>
    </row>
    <row r="91" spans="2:3" x14ac:dyDescent="0.25">
      <c r="B91" s="19">
        <v>107</v>
      </c>
      <c r="C91" s="19">
        <v>953</v>
      </c>
    </row>
    <row r="92" spans="2:3" x14ac:dyDescent="0.25">
      <c r="B92" s="19">
        <v>108</v>
      </c>
      <c r="C92" s="19">
        <v>952</v>
      </c>
    </row>
    <row r="93" spans="2:3" x14ac:dyDescent="0.25">
      <c r="B93" s="19">
        <v>109</v>
      </c>
      <c r="C93" s="19">
        <v>952</v>
      </c>
    </row>
    <row r="94" spans="2:3" x14ac:dyDescent="0.25">
      <c r="B94" s="19">
        <v>110</v>
      </c>
      <c r="C94" s="19">
        <v>951</v>
      </c>
    </row>
    <row r="95" spans="2:3" x14ac:dyDescent="0.25">
      <c r="B95" s="19">
        <v>111</v>
      </c>
      <c r="C95" s="19">
        <v>950</v>
      </c>
    </row>
    <row r="96" spans="2:3" x14ac:dyDescent="0.25">
      <c r="B96" s="19">
        <v>112</v>
      </c>
      <c r="C96" s="19">
        <v>949</v>
      </c>
    </row>
    <row r="97" spans="2:3" x14ac:dyDescent="0.25">
      <c r="B97" s="19">
        <v>113</v>
      </c>
      <c r="C97" s="19">
        <v>949</v>
      </c>
    </row>
    <row r="98" spans="2:3" x14ac:dyDescent="0.25">
      <c r="B98" s="19">
        <v>114</v>
      </c>
      <c r="C98" s="19">
        <v>948</v>
      </c>
    </row>
    <row r="99" spans="2:3" x14ac:dyDescent="0.25">
      <c r="B99" s="19">
        <v>115</v>
      </c>
      <c r="C99" s="19">
        <v>947</v>
      </c>
    </row>
    <row r="100" spans="2:3" x14ac:dyDescent="0.25">
      <c r="B100" s="19">
        <v>116</v>
      </c>
      <c r="C100" s="19">
        <v>946</v>
      </c>
    </row>
    <row r="101" spans="2:3" x14ac:dyDescent="0.25">
      <c r="B101" s="19">
        <v>117</v>
      </c>
      <c r="C101" s="19">
        <v>946</v>
      </c>
    </row>
    <row r="102" spans="2:3" x14ac:dyDescent="0.25">
      <c r="B102" s="19">
        <v>118</v>
      </c>
      <c r="C102" s="19">
        <v>945</v>
      </c>
    </row>
    <row r="103" spans="2:3" x14ac:dyDescent="0.25">
      <c r="B103" s="19">
        <v>119</v>
      </c>
      <c r="C103" s="19">
        <v>944</v>
      </c>
    </row>
    <row r="104" spans="2:3" x14ac:dyDescent="0.25">
      <c r="B104" s="19">
        <v>120</v>
      </c>
      <c r="C104" s="19">
        <v>943</v>
      </c>
    </row>
    <row r="105" spans="2:3" x14ac:dyDescent="0.25">
      <c r="B105" s="19">
        <v>121</v>
      </c>
      <c r="C105" s="19">
        <v>942</v>
      </c>
    </row>
    <row r="106" spans="2:3" x14ac:dyDescent="0.25">
      <c r="B106" s="19">
        <v>122</v>
      </c>
      <c r="C106" s="19">
        <v>941</v>
      </c>
    </row>
    <row r="107" spans="2:3" x14ac:dyDescent="0.25">
      <c r="B107" s="19">
        <v>123</v>
      </c>
      <c r="C107" s="19">
        <v>941</v>
      </c>
    </row>
    <row r="108" spans="2:3" x14ac:dyDescent="0.25">
      <c r="B108" s="19">
        <v>124</v>
      </c>
      <c r="C108" s="19">
        <v>940</v>
      </c>
    </row>
    <row r="109" spans="2:3" x14ac:dyDescent="0.25">
      <c r="B109" s="19">
        <v>125</v>
      </c>
      <c r="C109" s="19">
        <v>939</v>
      </c>
    </row>
    <row r="110" spans="2:3" x14ac:dyDescent="0.25">
      <c r="B110" s="19">
        <v>126</v>
      </c>
      <c r="C110" s="19">
        <v>938</v>
      </c>
    </row>
    <row r="111" spans="2:3" x14ac:dyDescent="0.25">
      <c r="B111" s="19">
        <v>127</v>
      </c>
      <c r="C111" s="19">
        <v>937</v>
      </c>
    </row>
    <row r="112" spans="2:3" x14ac:dyDescent="0.25">
      <c r="B112" s="19">
        <v>128</v>
      </c>
      <c r="C112" s="19">
        <v>936</v>
      </c>
    </row>
    <row r="113" spans="2:3" x14ac:dyDescent="0.25">
      <c r="B113" s="19">
        <v>129</v>
      </c>
      <c r="C113" s="19">
        <v>935</v>
      </c>
    </row>
    <row r="114" spans="2:3" x14ac:dyDescent="0.25">
      <c r="B114" s="19">
        <v>130</v>
      </c>
      <c r="C114" s="19">
        <v>935</v>
      </c>
    </row>
    <row r="115" spans="2:3" x14ac:dyDescent="0.25">
      <c r="B115" s="19">
        <v>131</v>
      </c>
      <c r="C115" s="19">
        <v>934</v>
      </c>
    </row>
    <row r="116" spans="2:3" x14ac:dyDescent="0.25">
      <c r="B116" s="19">
        <v>132</v>
      </c>
      <c r="C116" s="19">
        <v>933</v>
      </c>
    </row>
    <row r="117" spans="2:3" x14ac:dyDescent="0.25">
      <c r="B117" s="19">
        <v>133</v>
      </c>
      <c r="C117" s="19">
        <v>932</v>
      </c>
    </row>
    <row r="118" spans="2:3" x14ac:dyDescent="0.25">
      <c r="B118" s="19">
        <v>134</v>
      </c>
      <c r="C118" s="19">
        <v>931</v>
      </c>
    </row>
    <row r="119" spans="2:3" x14ac:dyDescent="0.25">
      <c r="B119" s="19">
        <v>135</v>
      </c>
      <c r="C119" s="19">
        <v>930</v>
      </c>
    </row>
    <row r="120" spans="2:3" x14ac:dyDescent="0.25">
      <c r="B120" s="19">
        <v>136</v>
      </c>
      <c r="C120" s="19">
        <v>929</v>
      </c>
    </row>
    <row r="121" spans="2:3" x14ac:dyDescent="0.25">
      <c r="B121" s="19">
        <v>137</v>
      </c>
      <c r="C121" s="19">
        <v>929</v>
      </c>
    </row>
    <row r="122" spans="2:3" x14ac:dyDescent="0.25">
      <c r="B122" s="19">
        <v>138</v>
      </c>
      <c r="C122" s="19">
        <v>928</v>
      </c>
    </row>
    <row r="123" spans="2:3" x14ac:dyDescent="0.25">
      <c r="B123" s="19">
        <v>139</v>
      </c>
      <c r="C123" s="19">
        <v>927</v>
      </c>
    </row>
    <row r="124" spans="2:3" x14ac:dyDescent="0.25">
      <c r="B124" s="19">
        <v>140</v>
      </c>
      <c r="C124" s="19">
        <v>926</v>
      </c>
    </row>
    <row r="125" spans="2:3" x14ac:dyDescent="0.25">
      <c r="B125" s="19">
        <v>141</v>
      </c>
      <c r="C125" s="19">
        <v>925</v>
      </c>
    </row>
    <row r="126" spans="2:3" x14ac:dyDescent="0.25">
      <c r="B126" s="19">
        <v>142</v>
      </c>
      <c r="C126" s="19">
        <v>924</v>
      </c>
    </row>
    <row r="127" spans="2:3" x14ac:dyDescent="0.25">
      <c r="B127" s="19">
        <v>143</v>
      </c>
      <c r="C127" s="19">
        <v>923</v>
      </c>
    </row>
    <row r="128" spans="2:3" x14ac:dyDescent="0.25">
      <c r="B128" s="19">
        <v>144</v>
      </c>
      <c r="C128" s="19">
        <v>922</v>
      </c>
    </row>
    <row r="129" spans="2:3" x14ac:dyDescent="0.25">
      <c r="B129" s="19">
        <v>145</v>
      </c>
      <c r="C129" s="19">
        <v>921</v>
      </c>
    </row>
    <row r="130" spans="2:3" x14ac:dyDescent="0.25">
      <c r="B130" s="19">
        <v>146</v>
      </c>
      <c r="C130" s="19">
        <v>920</v>
      </c>
    </row>
    <row r="131" spans="2:3" x14ac:dyDescent="0.25">
      <c r="B131" s="19">
        <v>147</v>
      </c>
      <c r="C131" s="19">
        <v>920</v>
      </c>
    </row>
    <row r="132" spans="2:3" x14ac:dyDescent="0.25">
      <c r="B132" s="19">
        <v>148</v>
      </c>
      <c r="C132" s="19">
        <v>919</v>
      </c>
    </row>
    <row r="133" spans="2:3" x14ac:dyDescent="0.25">
      <c r="B133" s="19">
        <v>149</v>
      </c>
      <c r="C133" s="19">
        <v>918</v>
      </c>
    </row>
    <row r="134" spans="2:3" x14ac:dyDescent="0.25">
      <c r="B134" s="19">
        <v>150</v>
      </c>
      <c r="C134" s="19">
        <v>917</v>
      </c>
    </row>
  </sheetData>
  <mergeCells count="1">
    <mergeCell ref="B2:C2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B2:O134"/>
  <sheetViews>
    <sheetView topLeftCell="C1" workbookViewId="0">
      <selection activeCell="J24" sqref="J24"/>
    </sheetView>
  </sheetViews>
  <sheetFormatPr defaultRowHeight="15" x14ac:dyDescent="0.25"/>
  <cols>
    <col min="1" max="1" width="8.796875" style="19"/>
    <col min="2" max="2" width="13.8984375" style="19" customWidth="1"/>
    <col min="3" max="3" width="14.3984375" style="19" customWidth="1"/>
    <col min="4" max="4" width="12.3984375" style="19" customWidth="1"/>
    <col min="5" max="5" width="15.59765625" style="19" customWidth="1"/>
    <col min="6" max="6" width="11.8984375" style="19" customWidth="1"/>
    <col min="7" max="7" width="15.3984375" style="19" customWidth="1"/>
    <col min="8" max="8" width="11.796875" style="19" customWidth="1"/>
    <col min="9" max="9" width="15.3984375" style="19" customWidth="1"/>
    <col min="10" max="10" width="15.09765625" style="19" customWidth="1"/>
    <col min="11" max="13" width="13.69921875" style="19" bestFit="1" customWidth="1"/>
    <col min="14" max="16384" width="8.796875" style="19"/>
  </cols>
  <sheetData>
    <row r="2" spans="2:13" x14ac:dyDescent="0.25">
      <c r="B2" s="212" t="s">
        <v>62</v>
      </c>
      <c r="C2" s="212"/>
      <c r="D2" s="212"/>
      <c r="E2" s="212"/>
      <c r="F2" s="212" t="s">
        <v>252</v>
      </c>
      <c r="G2" s="212"/>
      <c r="H2" s="38"/>
      <c r="J2" s="19" t="s">
        <v>134</v>
      </c>
      <c r="K2" s="19" t="s">
        <v>110</v>
      </c>
      <c r="L2" s="19" t="s">
        <v>109</v>
      </c>
      <c r="M2" s="19" t="s">
        <v>108</v>
      </c>
    </row>
    <row r="3" spans="2:13" x14ac:dyDescent="0.25">
      <c r="B3" s="19" t="s">
        <v>63</v>
      </c>
      <c r="C3" s="19" t="s">
        <v>64</v>
      </c>
      <c r="F3" s="19" t="s">
        <v>63</v>
      </c>
      <c r="G3" s="19" t="s">
        <v>64</v>
      </c>
      <c r="I3" s="19" t="s">
        <v>63</v>
      </c>
      <c r="J3" s="19" t="s">
        <v>64</v>
      </c>
      <c r="K3" s="19" t="s">
        <v>64</v>
      </c>
      <c r="L3" s="19" t="s">
        <v>64</v>
      </c>
      <c r="M3" s="19" t="s">
        <v>64</v>
      </c>
    </row>
    <row r="4" spans="2:13" x14ac:dyDescent="0.25">
      <c r="B4" s="19">
        <v>0</v>
      </c>
      <c r="C4" s="19">
        <v>4.18</v>
      </c>
      <c r="F4" s="19">
        <v>30</v>
      </c>
      <c r="G4" s="19">
        <v>4.18</v>
      </c>
      <c r="I4" s="19">
        <v>30</v>
      </c>
      <c r="J4" s="19">
        <v>0.52149999999999996</v>
      </c>
      <c r="K4" s="19">
        <v>1.0414000000000001</v>
      </c>
      <c r="L4" s="19">
        <v>0.85555000000000003</v>
      </c>
      <c r="M4" s="19">
        <v>0.92032000000000003</v>
      </c>
    </row>
    <row r="5" spans="2:13" x14ac:dyDescent="0.25">
      <c r="B5" s="19">
        <v>21</v>
      </c>
      <c r="C5" s="19">
        <v>4.18</v>
      </c>
      <c r="F5" s="19">
        <v>31</v>
      </c>
      <c r="G5" s="19">
        <v>4.1795999999999998</v>
      </c>
      <c r="I5" s="19">
        <v>31</v>
      </c>
      <c r="J5" s="19">
        <v>0.52148000000000005</v>
      </c>
      <c r="K5" s="19">
        <v>1.0414000000000001</v>
      </c>
      <c r="L5" s="19">
        <v>0.85650000000000004</v>
      </c>
      <c r="M5" s="19">
        <v>0.92047000000000001</v>
      </c>
    </row>
    <row r="6" spans="2:13" x14ac:dyDescent="0.25">
      <c r="B6" s="19">
        <v>22</v>
      </c>
      <c r="C6" s="19">
        <v>4.18</v>
      </c>
      <c r="F6" s="19">
        <v>32</v>
      </c>
      <c r="G6" s="19">
        <v>4.1795</v>
      </c>
      <c r="I6" s="19">
        <v>32</v>
      </c>
      <c r="J6" s="19">
        <v>0.52146999999999999</v>
      </c>
      <c r="K6" s="19">
        <v>1.0414000000000001</v>
      </c>
      <c r="L6" s="19">
        <v>0.85746</v>
      </c>
      <c r="M6" s="19">
        <v>0.92061999999999999</v>
      </c>
    </row>
    <row r="7" spans="2:13" x14ac:dyDescent="0.25">
      <c r="B7" s="19">
        <v>23</v>
      </c>
      <c r="C7" s="19">
        <v>4.18</v>
      </c>
      <c r="F7" s="19">
        <v>33</v>
      </c>
      <c r="G7" s="19">
        <v>4.1794000000000002</v>
      </c>
      <c r="I7" s="19">
        <v>33</v>
      </c>
      <c r="J7" s="19">
        <v>0.52146999999999999</v>
      </c>
      <c r="K7" s="19">
        <v>1.0414000000000001</v>
      </c>
      <c r="L7" s="19">
        <v>0.85841000000000001</v>
      </c>
      <c r="M7" s="19">
        <v>0.92076999999999998</v>
      </c>
    </row>
    <row r="8" spans="2:13" x14ac:dyDescent="0.25">
      <c r="B8" s="19">
        <v>24</v>
      </c>
      <c r="C8" s="19">
        <v>4.18</v>
      </c>
      <c r="F8" s="19">
        <v>34</v>
      </c>
      <c r="G8" s="19">
        <v>4.1792999999999996</v>
      </c>
      <c r="I8" s="19">
        <v>34</v>
      </c>
      <c r="J8" s="19">
        <v>0.52146000000000003</v>
      </c>
      <c r="K8" s="19">
        <v>1.0414000000000001</v>
      </c>
      <c r="L8" s="19">
        <v>0.85936000000000001</v>
      </c>
      <c r="M8" s="19">
        <v>0.92093000000000003</v>
      </c>
    </row>
    <row r="9" spans="2:13" x14ac:dyDescent="0.25">
      <c r="B9" s="19">
        <v>25</v>
      </c>
      <c r="C9" s="19">
        <v>4.18</v>
      </c>
      <c r="F9" s="19">
        <f>F4+5</f>
        <v>35</v>
      </c>
      <c r="G9" s="19">
        <v>4.1792999999999996</v>
      </c>
      <c r="I9" s="19">
        <f>I4+5</f>
        <v>35</v>
      </c>
      <c r="J9" s="78">
        <v>0.52144999999999997</v>
      </c>
      <c r="K9" s="19">
        <v>1.0414000000000001</v>
      </c>
      <c r="L9" s="78">
        <v>0.86031000000000002</v>
      </c>
      <c r="M9" s="81">
        <v>0.92108000000000001</v>
      </c>
    </row>
    <row r="10" spans="2:13" x14ac:dyDescent="0.25">
      <c r="B10" s="19">
        <v>26</v>
      </c>
      <c r="C10" s="19">
        <v>4.18</v>
      </c>
      <c r="F10" s="19">
        <v>36</v>
      </c>
      <c r="G10" s="19">
        <v>4.1791999999999998</v>
      </c>
      <c r="I10" s="19">
        <v>36</v>
      </c>
      <c r="J10" s="78">
        <v>0.52144000000000001</v>
      </c>
      <c r="K10" s="19">
        <v>1.0414000000000001</v>
      </c>
      <c r="L10" s="19">
        <v>0.86126999999999998</v>
      </c>
      <c r="M10" s="19">
        <v>0.92123999999999995</v>
      </c>
    </row>
    <row r="11" spans="2:13" x14ac:dyDescent="0.25">
      <c r="B11" s="19">
        <v>27</v>
      </c>
      <c r="C11" s="19">
        <v>4.18</v>
      </c>
      <c r="F11" s="19">
        <v>37</v>
      </c>
      <c r="G11" s="19">
        <v>4.1791999999999998</v>
      </c>
      <c r="I11" s="19">
        <v>37</v>
      </c>
      <c r="J11" s="78">
        <v>0.52142999999999995</v>
      </c>
      <c r="K11" s="19">
        <v>1.0414000000000001</v>
      </c>
      <c r="L11" s="19">
        <v>0.86221999999999999</v>
      </c>
      <c r="M11" s="19">
        <v>0.9214</v>
      </c>
    </row>
    <row r="12" spans="2:13" x14ac:dyDescent="0.25">
      <c r="B12" s="19">
        <v>28</v>
      </c>
      <c r="C12" s="19">
        <v>4.18</v>
      </c>
      <c r="F12" s="19">
        <v>38</v>
      </c>
      <c r="G12" s="19">
        <v>4.1792999999999996</v>
      </c>
      <c r="I12" s="19">
        <v>38</v>
      </c>
      <c r="J12" s="78">
        <v>0.52141999999999999</v>
      </c>
      <c r="K12" s="19">
        <v>1.0414000000000001</v>
      </c>
      <c r="L12" s="19">
        <v>0.86316000000000004</v>
      </c>
      <c r="M12" s="19">
        <v>0.92156000000000005</v>
      </c>
    </row>
    <row r="13" spans="2:13" x14ac:dyDescent="0.25">
      <c r="B13" s="19">
        <v>29</v>
      </c>
      <c r="C13" s="19">
        <v>4.18</v>
      </c>
      <c r="F13" s="19">
        <v>39</v>
      </c>
      <c r="G13" s="19">
        <v>4.1792999999999996</v>
      </c>
      <c r="I13" s="19">
        <v>39</v>
      </c>
      <c r="J13" s="78">
        <v>0.52141000000000004</v>
      </c>
      <c r="K13" s="19">
        <v>1.0414000000000001</v>
      </c>
      <c r="L13" s="19">
        <v>0.86411000000000004</v>
      </c>
      <c r="M13" s="19">
        <v>0.92171999999999998</v>
      </c>
    </row>
    <row r="14" spans="2:13" x14ac:dyDescent="0.25">
      <c r="B14" s="19">
        <v>30</v>
      </c>
      <c r="C14" s="19">
        <v>4.18</v>
      </c>
      <c r="F14" s="19">
        <f>F9+5</f>
        <v>40</v>
      </c>
      <c r="G14" s="19">
        <v>4.1794000000000002</v>
      </c>
      <c r="I14" s="19">
        <f>I9+5</f>
        <v>40</v>
      </c>
      <c r="J14" s="79">
        <v>0.52139999999999997</v>
      </c>
      <c r="K14" s="19">
        <v>1.0414000000000001</v>
      </c>
      <c r="L14" s="78">
        <v>0.86506000000000005</v>
      </c>
      <c r="M14" s="81">
        <v>0.92188999999999999</v>
      </c>
    </row>
    <row r="15" spans="2:13" x14ac:dyDescent="0.25">
      <c r="B15" s="19">
        <v>31</v>
      </c>
      <c r="C15" s="19">
        <v>4.18</v>
      </c>
      <c r="F15" s="19">
        <v>41</v>
      </c>
      <c r="G15" s="19">
        <v>4.1795</v>
      </c>
      <c r="I15" s="19">
        <v>41</v>
      </c>
      <c r="J15" s="79">
        <v>0.52139999999999997</v>
      </c>
      <c r="K15" s="19">
        <v>1.0415000000000001</v>
      </c>
      <c r="L15" s="19">
        <v>0.86599999999999999</v>
      </c>
      <c r="M15" s="19">
        <v>0.92205000000000004</v>
      </c>
    </row>
    <row r="16" spans="2:13" x14ac:dyDescent="0.25">
      <c r="B16" s="19">
        <v>32</v>
      </c>
      <c r="C16" s="19">
        <v>4.18</v>
      </c>
      <c r="F16" s="19">
        <v>42</v>
      </c>
      <c r="G16" s="19">
        <v>4.1795999999999998</v>
      </c>
      <c r="I16" s="19">
        <v>42</v>
      </c>
      <c r="J16" s="78">
        <v>0.52139000000000002</v>
      </c>
      <c r="K16" s="19">
        <v>1.0415000000000001</v>
      </c>
      <c r="L16" s="19">
        <v>0.86695</v>
      </c>
      <c r="M16" s="19">
        <v>0.92222000000000004</v>
      </c>
    </row>
    <row r="17" spans="2:14" x14ac:dyDescent="0.25">
      <c r="B17" s="19">
        <v>33</v>
      </c>
      <c r="C17" s="19">
        <v>4.18</v>
      </c>
      <c r="F17" s="19">
        <v>43</v>
      </c>
      <c r="G17" s="19">
        <v>4.1798000000000002</v>
      </c>
      <c r="I17" s="19">
        <v>43</v>
      </c>
      <c r="J17" s="78">
        <v>0.52137999999999995</v>
      </c>
      <c r="K17" s="19">
        <v>1.0415000000000001</v>
      </c>
      <c r="L17" s="19">
        <v>0.86789000000000005</v>
      </c>
      <c r="M17" s="19">
        <v>0.92239000000000004</v>
      </c>
    </row>
    <row r="18" spans="2:14" x14ac:dyDescent="0.25">
      <c r="B18" s="19">
        <v>34</v>
      </c>
      <c r="C18" s="19">
        <v>4.18</v>
      </c>
      <c r="F18" s="19">
        <v>44</v>
      </c>
      <c r="G18" s="19">
        <v>4.18</v>
      </c>
      <c r="I18" s="19">
        <v>44</v>
      </c>
      <c r="J18" s="78">
        <v>0.52137</v>
      </c>
      <c r="K18" s="19">
        <v>1.0415000000000001</v>
      </c>
      <c r="L18" s="19">
        <v>0.86882999999999999</v>
      </c>
      <c r="M18" s="19">
        <v>0.92256000000000005</v>
      </c>
    </row>
    <row r="19" spans="2:14" x14ac:dyDescent="0.25">
      <c r="B19" s="19">
        <v>35</v>
      </c>
      <c r="C19" s="19">
        <v>4.18</v>
      </c>
      <c r="F19" s="19">
        <f>F14+5</f>
        <v>45</v>
      </c>
      <c r="G19" s="19">
        <v>4.1801000000000004</v>
      </c>
      <c r="I19" s="19">
        <f>I14+5</f>
        <v>45</v>
      </c>
      <c r="J19" s="80">
        <v>0.52136000000000005</v>
      </c>
      <c r="K19" s="82">
        <v>1.0415000000000001</v>
      </c>
      <c r="L19" s="80">
        <v>0.86977000000000004</v>
      </c>
      <c r="M19" s="81">
        <v>0.92273000000000005</v>
      </c>
    </row>
    <row r="20" spans="2:14" x14ac:dyDescent="0.25">
      <c r="B20" s="19">
        <v>36</v>
      </c>
      <c r="C20" s="19">
        <v>4.18</v>
      </c>
      <c r="F20" s="19">
        <v>46</v>
      </c>
      <c r="G20" s="19">
        <v>4.1802999999999999</v>
      </c>
      <c r="I20" s="19">
        <v>46</v>
      </c>
      <c r="J20" s="80">
        <v>0.52136000000000005</v>
      </c>
      <c r="K20" s="82">
        <v>1.0415000000000001</v>
      </c>
      <c r="L20" s="19">
        <v>0.87070999999999998</v>
      </c>
      <c r="M20" s="19">
        <v>0.92291000000000001</v>
      </c>
      <c r="N20" s="81"/>
    </row>
    <row r="21" spans="2:14" x14ac:dyDescent="0.25">
      <c r="B21" s="19">
        <v>37</v>
      </c>
      <c r="C21" s="19">
        <v>4.18</v>
      </c>
      <c r="F21" s="19">
        <v>47</v>
      </c>
      <c r="G21" s="19">
        <v>4.1806000000000001</v>
      </c>
      <c r="I21" s="19">
        <v>47</v>
      </c>
      <c r="J21" s="80">
        <v>0.52134999999999998</v>
      </c>
      <c r="K21" s="82">
        <v>1.0415000000000001</v>
      </c>
      <c r="L21" s="19">
        <v>0.87165000000000004</v>
      </c>
      <c r="M21" s="19">
        <v>0.92308000000000001</v>
      </c>
      <c r="N21" s="81"/>
    </row>
    <row r="22" spans="2:14" x14ac:dyDescent="0.25">
      <c r="B22" s="19">
        <v>38</v>
      </c>
      <c r="C22" s="19">
        <v>4.18</v>
      </c>
      <c r="F22" s="19">
        <v>48</v>
      </c>
      <c r="G22" s="19">
        <v>4.1807999999999996</v>
      </c>
      <c r="I22" s="19">
        <v>48</v>
      </c>
      <c r="J22" s="80">
        <v>0.52134000000000003</v>
      </c>
      <c r="K22" s="82">
        <v>1.0416000000000001</v>
      </c>
      <c r="L22" s="19">
        <v>0.87258999999999998</v>
      </c>
      <c r="M22" s="19">
        <v>0.92325999999999997</v>
      </c>
      <c r="N22" s="81"/>
    </row>
    <row r="23" spans="2:14" x14ac:dyDescent="0.25">
      <c r="B23" s="19">
        <v>39</v>
      </c>
      <c r="C23" s="19">
        <v>4.18</v>
      </c>
      <c r="F23" s="19">
        <v>49</v>
      </c>
      <c r="G23" s="19">
        <v>4.1810999999999998</v>
      </c>
      <c r="I23" s="19">
        <v>49</v>
      </c>
      <c r="J23" s="80">
        <v>0.52132999999999996</v>
      </c>
      <c r="K23" s="82">
        <v>1.0416000000000001</v>
      </c>
      <c r="L23" s="19">
        <v>0.87353000000000003</v>
      </c>
      <c r="M23" s="19">
        <v>0.92344000000000004</v>
      </c>
      <c r="N23" s="81"/>
    </row>
    <row r="24" spans="2:14" x14ac:dyDescent="0.25">
      <c r="B24" s="19">
        <v>40</v>
      </c>
      <c r="C24" s="19">
        <v>4.18</v>
      </c>
      <c r="F24" s="19">
        <f>F19+5</f>
        <v>50</v>
      </c>
      <c r="G24" s="19">
        <v>4.18</v>
      </c>
      <c r="I24" s="19">
        <f>I19+5</f>
        <v>50</v>
      </c>
      <c r="J24" s="80">
        <v>0.52132999999999996</v>
      </c>
      <c r="K24" s="82">
        <v>1.0416000000000001</v>
      </c>
      <c r="L24" s="80">
        <v>0.87446000000000002</v>
      </c>
      <c r="M24" s="81">
        <v>0.92362</v>
      </c>
      <c r="N24" s="81"/>
    </row>
    <row r="25" spans="2:14" x14ac:dyDescent="0.25">
      <c r="B25" s="19">
        <v>41</v>
      </c>
      <c r="C25" s="19">
        <v>4.18</v>
      </c>
      <c r="F25" s="19">
        <f t="shared" ref="F25:F33" si="0">F24+5</f>
        <v>55</v>
      </c>
      <c r="G25" s="19">
        <v>4.1900000000000004</v>
      </c>
      <c r="I25" s="19">
        <f t="shared" ref="I25:I54" si="1">I24+5</f>
        <v>55</v>
      </c>
      <c r="J25" s="81">
        <v>0.52129000000000003</v>
      </c>
      <c r="K25" s="81">
        <v>1.0417000000000001</v>
      </c>
      <c r="L25" s="80">
        <v>0.87910999999999995</v>
      </c>
      <c r="M25" s="81">
        <v>0.92454999999999998</v>
      </c>
      <c r="N25" s="81"/>
    </row>
    <row r="26" spans="2:14" x14ac:dyDescent="0.25">
      <c r="B26" s="19">
        <v>42</v>
      </c>
      <c r="C26" s="19">
        <v>4.18</v>
      </c>
      <c r="F26" s="19">
        <f t="shared" si="0"/>
        <v>60</v>
      </c>
      <c r="G26" s="19">
        <v>4.1900000000000004</v>
      </c>
      <c r="I26" s="19">
        <f t="shared" si="1"/>
        <v>60</v>
      </c>
      <c r="J26" s="81">
        <v>0.52125999999999995</v>
      </c>
      <c r="K26" s="81">
        <v>1.0418000000000001</v>
      </c>
      <c r="L26" s="81">
        <v>0.88373000000000002</v>
      </c>
      <c r="M26" s="81">
        <v>0.92552000000000001</v>
      </c>
      <c r="N26" s="81"/>
    </row>
    <row r="27" spans="2:14" x14ac:dyDescent="0.25">
      <c r="B27" s="19">
        <v>43</v>
      </c>
      <c r="C27" s="19">
        <v>4.18</v>
      </c>
      <c r="F27" s="19">
        <f t="shared" si="0"/>
        <v>65</v>
      </c>
      <c r="G27" s="19">
        <v>4.1900000000000004</v>
      </c>
      <c r="I27" s="19">
        <f t="shared" si="1"/>
        <v>65</v>
      </c>
      <c r="J27" s="81">
        <v>0.52122000000000002</v>
      </c>
      <c r="K27" s="81">
        <v>1.0419</v>
      </c>
      <c r="L27" s="81">
        <v>0.88832</v>
      </c>
      <c r="M27" s="81">
        <v>0.92652000000000001</v>
      </c>
      <c r="N27" s="81"/>
    </row>
    <row r="28" spans="2:14" x14ac:dyDescent="0.25">
      <c r="B28" s="19">
        <v>44</v>
      </c>
      <c r="C28" s="19">
        <v>4.18</v>
      </c>
      <c r="F28" s="19">
        <f t="shared" si="0"/>
        <v>70</v>
      </c>
      <c r="G28" s="19">
        <v>4.1900000000000004</v>
      </c>
      <c r="I28" s="19">
        <f t="shared" si="1"/>
        <v>70</v>
      </c>
      <c r="J28" s="81">
        <v>0.52119000000000004</v>
      </c>
      <c r="K28" s="81">
        <v>1.0421</v>
      </c>
      <c r="L28" s="81">
        <v>0.89287000000000005</v>
      </c>
      <c r="M28" s="81">
        <v>0.92756000000000005</v>
      </c>
      <c r="N28" s="81"/>
    </row>
    <row r="29" spans="2:14" x14ac:dyDescent="0.25">
      <c r="B29" s="19">
        <v>45</v>
      </c>
      <c r="C29" s="19">
        <v>4.18</v>
      </c>
      <c r="F29" s="19">
        <f t="shared" si="0"/>
        <v>75</v>
      </c>
      <c r="G29" s="19">
        <v>4.2</v>
      </c>
      <c r="I29" s="19">
        <f t="shared" si="1"/>
        <v>75</v>
      </c>
      <c r="J29" s="81">
        <v>0.52166000000000001</v>
      </c>
      <c r="K29" s="81">
        <v>1.0422</v>
      </c>
      <c r="L29" s="81">
        <v>0.89737</v>
      </c>
      <c r="M29" s="81">
        <v>0.92864000000000002</v>
      </c>
      <c r="N29" s="81"/>
    </row>
    <row r="30" spans="2:14" x14ac:dyDescent="0.25">
      <c r="B30" s="19">
        <v>46</v>
      </c>
      <c r="C30" s="19">
        <v>4.18</v>
      </c>
      <c r="F30" s="19">
        <f t="shared" si="0"/>
        <v>80</v>
      </c>
      <c r="G30" s="19">
        <v>4.2</v>
      </c>
      <c r="I30" s="19">
        <f t="shared" si="1"/>
        <v>80</v>
      </c>
      <c r="J30" s="81">
        <v>0.52114000000000005</v>
      </c>
      <c r="K30" s="81">
        <v>1.0424</v>
      </c>
      <c r="L30" s="81">
        <v>0.90183999999999997</v>
      </c>
      <c r="M30" s="81">
        <v>0.92976000000000003</v>
      </c>
      <c r="N30" s="81"/>
    </row>
    <row r="31" spans="2:14" x14ac:dyDescent="0.25">
      <c r="B31" s="19">
        <v>47</v>
      </c>
      <c r="C31" s="19">
        <v>4.18</v>
      </c>
      <c r="F31" s="19">
        <f t="shared" si="0"/>
        <v>85</v>
      </c>
      <c r="G31" s="19">
        <v>4.2</v>
      </c>
      <c r="I31" s="19">
        <f t="shared" si="1"/>
        <v>85</v>
      </c>
      <c r="J31" s="81">
        <v>0.52110999999999996</v>
      </c>
      <c r="K31" s="81">
        <v>1.0426</v>
      </c>
      <c r="L31" s="81">
        <v>0.90627000000000002</v>
      </c>
      <c r="M31" s="81">
        <v>0.93089999999999995</v>
      </c>
      <c r="N31" s="81"/>
    </row>
    <row r="32" spans="2:14" x14ac:dyDescent="0.25">
      <c r="B32" s="19">
        <v>48</v>
      </c>
      <c r="C32" s="19">
        <v>4.18</v>
      </c>
      <c r="F32" s="19">
        <f t="shared" si="0"/>
        <v>90</v>
      </c>
      <c r="G32" s="19">
        <v>4.21</v>
      </c>
      <c r="I32" s="19">
        <f t="shared" si="1"/>
        <v>90</v>
      </c>
      <c r="J32" s="81">
        <v>0.52109000000000005</v>
      </c>
      <c r="K32" s="81">
        <v>1.0427999999999999</v>
      </c>
      <c r="L32" s="81">
        <v>0.91066000000000003</v>
      </c>
      <c r="M32" s="81">
        <v>0.93208000000000002</v>
      </c>
      <c r="N32" s="81"/>
    </row>
    <row r="33" spans="2:14" x14ac:dyDescent="0.25">
      <c r="B33" s="19">
        <v>49</v>
      </c>
      <c r="C33" s="19">
        <v>4.18</v>
      </c>
      <c r="F33" s="19">
        <f t="shared" si="0"/>
        <v>95</v>
      </c>
      <c r="G33" s="19">
        <v>4.21</v>
      </c>
      <c r="I33" s="19">
        <f t="shared" si="1"/>
        <v>95</v>
      </c>
      <c r="J33" s="81">
        <v>0.52105999999999997</v>
      </c>
      <c r="K33" s="81">
        <v>1.0429999999999999</v>
      </c>
      <c r="L33" s="81">
        <v>0.91500999999999999</v>
      </c>
      <c r="M33" s="81">
        <v>0.93328999999999995</v>
      </c>
      <c r="N33" s="81"/>
    </row>
    <row r="34" spans="2:14" x14ac:dyDescent="0.25">
      <c r="B34" s="19">
        <v>50</v>
      </c>
      <c r="C34" s="19">
        <v>4.18</v>
      </c>
      <c r="F34" s="19">
        <v>100</v>
      </c>
      <c r="G34" s="19">
        <v>2.0783999999999998</v>
      </c>
      <c r="I34" s="19">
        <f t="shared" si="1"/>
        <v>100</v>
      </c>
      <c r="J34" s="81">
        <v>0.52103999999999995</v>
      </c>
      <c r="K34" s="81">
        <v>1.0432999999999999</v>
      </c>
      <c r="L34" s="81">
        <v>0.91930999999999996</v>
      </c>
      <c r="M34" s="81">
        <v>0.93452999999999997</v>
      </c>
      <c r="N34" s="81"/>
    </row>
    <row r="35" spans="2:14" x14ac:dyDescent="0.25">
      <c r="B35" s="19">
        <v>51</v>
      </c>
      <c r="C35" s="19">
        <v>4.18</v>
      </c>
      <c r="F35" s="19">
        <v>105</v>
      </c>
      <c r="G35" s="19">
        <v>2.0568</v>
      </c>
      <c r="I35" s="19">
        <f t="shared" si="1"/>
        <v>105</v>
      </c>
      <c r="J35" s="81">
        <v>0.52102000000000004</v>
      </c>
      <c r="K35" s="81">
        <v>1.0435000000000001</v>
      </c>
      <c r="L35" s="81">
        <v>0.92357999999999996</v>
      </c>
      <c r="M35" s="81">
        <v>0.93579999999999997</v>
      </c>
      <c r="N35" s="81"/>
    </row>
    <row r="36" spans="2:14" x14ac:dyDescent="0.25">
      <c r="B36" s="19">
        <v>52</v>
      </c>
      <c r="C36" s="19">
        <v>4.18</v>
      </c>
      <c r="F36" s="19">
        <v>110</v>
      </c>
      <c r="G36" s="19">
        <v>2.0415000000000001</v>
      </c>
      <c r="I36" s="19">
        <f t="shared" si="1"/>
        <v>110</v>
      </c>
      <c r="J36" s="81">
        <v>0.52100000000000002</v>
      </c>
      <c r="K36" s="81">
        <v>1.0438000000000001</v>
      </c>
      <c r="L36" s="81">
        <v>0.92779999999999996</v>
      </c>
      <c r="M36" s="81">
        <v>0.93710000000000004</v>
      </c>
      <c r="N36" s="81"/>
    </row>
    <row r="37" spans="2:14" x14ac:dyDescent="0.25">
      <c r="B37" s="19">
        <v>53</v>
      </c>
      <c r="C37" s="19">
        <v>4.18</v>
      </c>
      <c r="F37" s="19">
        <v>115</v>
      </c>
      <c r="G37" s="19">
        <v>2.0291999999999999</v>
      </c>
      <c r="I37" s="19">
        <f t="shared" si="1"/>
        <v>115</v>
      </c>
      <c r="J37" s="81">
        <v>0.52098</v>
      </c>
      <c r="K37" s="19">
        <v>1.0441</v>
      </c>
      <c r="L37" s="81">
        <v>0.93198000000000003</v>
      </c>
      <c r="M37" s="81">
        <v>0.93842000000000003</v>
      </c>
      <c r="N37" s="81"/>
    </row>
    <row r="38" spans="2:14" x14ac:dyDescent="0.25">
      <c r="B38" s="19">
        <v>54</v>
      </c>
      <c r="C38" s="19">
        <v>4.18</v>
      </c>
      <c r="F38" s="19">
        <v>120</v>
      </c>
      <c r="G38" s="19">
        <v>2.0190000000000001</v>
      </c>
      <c r="I38" s="19">
        <f t="shared" si="1"/>
        <v>120</v>
      </c>
      <c r="J38" s="81">
        <v>0.52095999999999998</v>
      </c>
      <c r="K38" s="81">
        <v>1.0445</v>
      </c>
      <c r="L38" s="81">
        <v>0.93613000000000002</v>
      </c>
      <c r="M38" s="81">
        <v>0.93976999999999999</v>
      </c>
      <c r="N38" s="81"/>
    </row>
    <row r="39" spans="2:14" x14ac:dyDescent="0.25">
      <c r="B39" s="19">
        <v>55</v>
      </c>
      <c r="C39" s="19">
        <v>4.1900000000000004</v>
      </c>
      <c r="F39" s="19">
        <v>125</v>
      </c>
      <c r="G39" s="19">
        <v>2.0105</v>
      </c>
      <c r="I39" s="19">
        <f t="shared" si="1"/>
        <v>125</v>
      </c>
      <c r="J39" s="81">
        <v>0.52093999999999996</v>
      </c>
      <c r="K39" s="81">
        <v>1.0448</v>
      </c>
      <c r="L39" s="81">
        <v>0.94023000000000001</v>
      </c>
      <c r="M39" s="81">
        <v>0.94113999999999998</v>
      </c>
      <c r="N39" s="81"/>
    </row>
    <row r="40" spans="2:14" x14ac:dyDescent="0.25">
      <c r="B40" s="19">
        <v>56</v>
      </c>
      <c r="C40" s="19">
        <v>4.1900000000000004</v>
      </c>
      <c r="F40" s="19">
        <v>130</v>
      </c>
      <c r="G40" s="19">
        <v>2.0034000000000001</v>
      </c>
      <c r="I40" s="19">
        <f t="shared" si="1"/>
        <v>130</v>
      </c>
      <c r="J40" s="81">
        <v>0.52092000000000005</v>
      </c>
      <c r="K40" s="81">
        <v>1.0451999999999999</v>
      </c>
      <c r="L40" s="81">
        <v>0.94428999999999996</v>
      </c>
      <c r="M40" s="81">
        <v>0.94252999999999998</v>
      </c>
      <c r="N40" s="81"/>
    </row>
    <row r="41" spans="2:14" x14ac:dyDescent="0.25">
      <c r="B41" s="19">
        <v>57</v>
      </c>
      <c r="C41" s="19">
        <v>4.1900000000000004</v>
      </c>
      <c r="F41" s="19">
        <v>135</v>
      </c>
      <c r="G41" s="19">
        <v>1.9974000000000001</v>
      </c>
      <c r="I41" s="19">
        <f t="shared" si="1"/>
        <v>135</v>
      </c>
      <c r="J41" s="81">
        <v>0.52090000000000003</v>
      </c>
      <c r="K41" s="81">
        <v>1.0456000000000001</v>
      </c>
      <c r="L41" s="81">
        <v>0.94830999999999999</v>
      </c>
      <c r="M41" s="81">
        <v>0.94394</v>
      </c>
      <c r="N41" s="81"/>
    </row>
    <row r="42" spans="2:14" x14ac:dyDescent="0.25">
      <c r="B42" s="19">
        <v>58</v>
      </c>
      <c r="C42" s="19">
        <v>4.1900000000000004</v>
      </c>
      <c r="F42" s="19">
        <v>140</v>
      </c>
      <c r="G42" s="19">
        <v>1.9923</v>
      </c>
      <c r="I42" s="19">
        <f t="shared" si="1"/>
        <v>140</v>
      </c>
      <c r="J42" s="81">
        <v>0.52088999999999996</v>
      </c>
      <c r="K42" s="81">
        <v>1.046</v>
      </c>
      <c r="L42" s="81">
        <v>0.95228000000000002</v>
      </c>
      <c r="M42" s="81">
        <v>0.94538</v>
      </c>
      <c r="N42" s="81"/>
    </row>
    <row r="43" spans="2:14" x14ac:dyDescent="0.25">
      <c r="B43" s="19">
        <v>59</v>
      </c>
      <c r="C43" s="19">
        <v>4.1900000000000004</v>
      </c>
      <c r="F43" s="19">
        <v>145</v>
      </c>
      <c r="G43" s="19">
        <v>1.9881</v>
      </c>
      <c r="I43" s="19">
        <f t="shared" si="1"/>
        <v>145</v>
      </c>
      <c r="J43" s="81">
        <v>0.52087000000000006</v>
      </c>
      <c r="K43" s="81">
        <v>1.0464</v>
      </c>
      <c r="L43" s="81">
        <v>0.95621999999999996</v>
      </c>
      <c r="M43" s="81">
        <v>0.94682999999999995</v>
      </c>
      <c r="N43" s="81"/>
    </row>
    <row r="44" spans="2:14" x14ac:dyDescent="0.25">
      <c r="B44" s="19">
        <v>60</v>
      </c>
      <c r="C44" s="19">
        <v>4.1900000000000004</v>
      </c>
      <c r="F44" s="19">
        <v>150</v>
      </c>
      <c r="G44" s="19">
        <v>1.9845999999999999</v>
      </c>
      <c r="I44" s="19">
        <f t="shared" si="1"/>
        <v>150</v>
      </c>
      <c r="J44" s="81">
        <v>0.52085999999999999</v>
      </c>
      <c r="K44" s="81">
        <v>1.0468999999999999</v>
      </c>
      <c r="L44" s="81">
        <v>0.96011999999999997</v>
      </c>
      <c r="M44" s="81">
        <v>0.94828999999999997</v>
      </c>
      <c r="N44" s="81"/>
    </row>
    <row r="45" spans="2:14" x14ac:dyDescent="0.25">
      <c r="B45" s="19">
        <v>61</v>
      </c>
      <c r="C45" s="19">
        <v>4.1900000000000004</v>
      </c>
      <c r="F45" s="19">
        <v>155</v>
      </c>
      <c r="G45" s="19">
        <v>1.9818</v>
      </c>
      <c r="I45" s="19">
        <f t="shared" si="1"/>
        <v>155</v>
      </c>
      <c r="J45" s="81">
        <v>0.52083999999999997</v>
      </c>
      <c r="K45" s="81">
        <v>1.0472999999999999</v>
      </c>
      <c r="L45" s="81">
        <v>0.96399000000000001</v>
      </c>
      <c r="M45" s="81">
        <v>0.94977999999999996</v>
      </c>
      <c r="N45" s="81"/>
    </row>
    <row r="46" spans="2:14" x14ac:dyDescent="0.25">
      <c r="B46" s="19">
        <v>62</v>
      </c>
      <c r="C46" s="19">
        <v>4.1900000000000004</v>
      </c>
      <c r="F46" s="19">
        <v>160</v>
      </c>
      <c r="G46" s="19">
        <v>1.9795</v>
      </c>
      <c r="I46" s="19">
        <f t="shared" si="1"/>
        <v>160</v>
      </c>
      <c r="J46" s="81">
        <v>0.52083000000000002</v>
      </c>
      <c r="K46" s="81">
        <v>1.0478000000000001</v>
      </c>
      <c r="L46" s="81">
        <v>0.96780999999999995</v>
      </c>
      <c r="M46" s="81">
        <v>0.95126999999999995</v>
      </c>
      <c r="N46" s="81"/>
    </row>
    <row r="47" spans="2:14" x14ac:dyDescent="0.25">
      <c r="B47" s="19">
        <v>63</v>
      </c>
      <c r="C47" s="19">
        <v>4.1900000000000004</v>
      </c>
      <c r="F47" s="19">
        <v>165</v>
      </c>
      <c r="G47" s="19">
        <v>1.9777</v>
      </c>
      <c r="I47" s="19">
        <f t="shared" si="1"/>
        <v>165</v>
      </c>
      <c r="J47" s="81">
        <v>0.52081999999999995</v>
      </c>
      <c r="K47" s="81">
        <v>1.0483</v>
      </c>
      <c r="L47" s="81">
        <v>0.97158999999999995</v>
      </c>
      <c r="M47" s="81">
        <v>0.95279000000000003</v>
      </c>
      <c r="N47" s="81"/>
    </row>
    <row r="48" spans="2:14" x14ac:dyDescent="0.25">
      <c r="B48" s="19">
        <v>64</v>
      </c>
      <c r="C48" s="19">
        <v>4.1900000000000004</v>
      </c>
      <c r="F48" s="19">
        <v>170</v>
      </c>
      <c r="G48" s="19">
        <v>1.9763999999999999</v>
      </c>
      <c r="I48" s="19">
        <f t="shared" si="1"/>
        <v>170</v>
      </c>
      <c r="J48" s="81">
        <v>0.52080000000000004</v>
      </c>
      <c r="K48" s="81">
        <v>1.0488999999999999</v>
      </c>
      <c r="L48" s="81">
        <v>0.97533999999999998</v>
      </c>
      <c r="M48" s="81">
        <v>0.95430999999999999</v>
      </c>
      <c r="N48" s="81"/>
    </row>
    <row r="49" spans="2:15" x14ac:dyDescent="0.25">
      <c r="B49" s="19">
        <v>65</v>
      </c>
      <c r="C49" s="19">
        <v>4.1900000000000004</v>
      </c>
      <c r="F49" s="19">
        <v>175</v>
      </c>
      <c r="G49" s="19">
        <v>1.9755</v>
      </c>
      <c r="I49" s="19">
        <f t="shared" si="1"/>
        <v>175</v>
      </c>
      <c r="J49" s="81">
        <v>0.52078999999999998</v>
      </c>
      <c r="K49" s="81">
        <v>1.0494000000000001</v>
      </c>
      <c r="L49" s="81">
        <v>0.97904999999999998</v>
      </c>
      <c r="M49" s="81">
        <v>0.95584000000000002</v>
      </c>
      <c r="N49" s="81"/>
    </row>
    <row r="50" spans="2:15" x14ac:dyDescent="0.25">
      <c r="B50" s="19">
        <v>66</v>
      </c>
      <c r="C50" s="19">
        <v>4.1900000000000004</v>
      </c>
      <c r="F50" s="19">
        <v>180</v>
      </c>
      <c r="G50" s="19">
        <v>1.9749000000000001</v>
      </c>
      <c r="I50" s="19">
        <f t="shared" si="1"/>
        <v>180</v>
      </c>
      <c r="J50" s="81">
        <v>0.52078000000000002</v>
      </c>
      <c r="K50" s="81">
        <v>1.05</v>
      </c>
      <c r="L50" s="81">
        <v>0.98272000000000004</v>
      </c>
      <c r="M50" s="81">
        <v>0.95738999999999996</v>
      </c>
      <c r="N50" s="81"/>
    </row>
    <row r="51" spans="2:15" x14ac:dyDescent="0.25">
      <c r="B51" s="19">
        <v>67</v>
      </c>
      <c r="C51" s="19">
        <v>4.1900000000000004</v>
      </c>
      <c r="F51" s="19">
        <v>185</v>
      </c>
      <c r="G51" s="19">
        <v>1.9745999999999999</v>
      </c>
      <c r="I51" s="19">
        <f t="shared" si="1"/>
        <v>185</v>
      </c>
      <c r="J51" s="19">
        <v>0.52076999999999996</v>
      </c>
      <c r="K51" s="81">
        <v>1.0506</v>
      </c>
      <c r="L51" s="81">
        <v>0.98636000000000001</v>
      </c>
      <c r="M51" s="81">
        <v>0.95894000000000001</v>
      </c>
      <c r="N51" s="81"/>
    </row>
    <row r="52" spans="2:15" x14ac:dyDescent="0.25">
      <c r="B52" s="19">
        <v>68</v>
      </c>
      <c r="C52" s="19">
        <v>4.1900000000000004</v>
      </c>
      <c r="F52" s="19">
        <v>190</v>
      </c>
      <c r="G52" s="19">
        <v>1.9745999999999999</v>
      </c>
      <c r="I52" s="19">
        <f t="shared" si="1"/>
        <v>190</v>
      </c>
      <c r="J52" s="19">
        <v>0.52076</v>
      </c>
      <c r="K52" s="81">
        <v>1.0511999999999999</v>
      </c>
      <c r="L52" s="81">
        <v>0.98995999999999995</v>
      </c>
      <c r="M52" s="81">
        <v>0.96050000000000002</v>
      </c>
      <c r="N52" s="81"/>
    </row>
    <row r="53" spans="2:15" x14ac:dyDescent="0.25">
      <c r="B53" s="19">
        <v>69</v>
      </c>
      <c r="C53" s="19">
        <v>4.1900000000000004</v>
      </c>
      <c r="F53" s="19">
        <v>195</v>
      </c>
      <c r="G53" s="41">
        <v>1.9749000000000001</v>
      </c>
      <c r="I53" s="19">
        <f t="shared" si="1"/>
        <v>195</v>
      </c>
      <c r="J53" s="19">
        <v>0.52075000000000005</v>
      </c>
      <c r="K53" s="81">
        <v>1.0519000000000001</v>
      </c>
      <c r="L53" s="81">
        <v>0.99353000000000002</v>
      </c>
      <c r="M53" s="81">
        <v>0.96206999999999998</v>
      </c>
      <c r="N53" s="81"/>
    </row>
    <row r="54" spans="2:15" x14ac:dyDescent="0.25">
      <c r="B54" s="19">
        <v>70</v>
      </c>
      <c r="C54" s="19">
        <v>4.1900000000000004</v>
      </c>
      <c r="F54" s="19">
        <v>200</v>
      </c>
      <c r="G54" s="19">
        <v>1.9754</v>
      </c>
      <c r="I54" s="19">
        <f t="shared" si="1"/>
        <v>200</v>
      </c>
      <c r="J54" s="19">
        <v>0.52073999999999998</v>
      </c>
      <c r="K54" s="81">
        <v>1.0525</v>
      </c>
      <c r="L54" s="81">
        <v>0.99705999999999995</v>
      </c>
      <c r="M54" s="81">
        <v>0.96364000000000005</v>
      </c>
    </row>
    <row r="55" spans="2:15" x14ac:dyDescent="0.25">
      <c r="B55" s="19">
        <v>71</v>
      </c>
      <c r="C55" s="19">
        <v>4.1900000000000004</v>
      </c>
      <c r="J55" s="19">
        <v>2</v>
      </c>
      <c r="K55" s="19">
        <v>3</v>
      </c>
      <c r="L55" s="19">
        <v>4</v>
      </c>
      <c r="M55" s="19">
        <v>5</v>
      </c>
    </row>
    <row r="56" spans="2:15" x14ac:dyDescent="0.25">
      <c r="B56" s="19">
        <v>72</v>
      </c>
      <c r="C56" s="19">
        <v>4.1900000000000004</v>
      </c>
      <c r="I56" s="21">
        <f>'reaalsed andmed'!E65</f>
        <v>160.30833333333334</v>
      </c>
      <c r="J56" s="19">
        <f>VLOOKUP($I$56,$I$4:$M$54,J55,1)</f>
        <v>0.52083000000000002</v>
      </c>
      <c r="K56" s="19">
        <f>VLOOKUP($I$56,$I$4:$M$54,K55,1)</f>
        <v>1.0478000000000001</v>
      </c>
      <c r="L56" s="19">
        <f>VLOOKUP($I$56,$I$4:$M$54,L55,1)</f>
        <v>0.96780999999999995</v>
      </c>
      <c r="M56" s="19">
        <f>VLOOKUP($I$56,$I$4:$M$54,M55,1)</f>
        <v>0.95126999999999995</v>
      </c>
    </row>
    <row r="57" spans="2:15" x14ac:dyDescent="0.25">
      <c r="B57" s="19">
        <v>73</v>
      </c>
      <c r="C57" s="19">
        <v>4.2</v>
      </c>
      <c r="I57" s="21">
        <f>'reaalsed andmed'!F65</f>
        <v>44.393333333333366</v>
      </c>
      <c r="J57" s="19">
        <f>VLOOKUP($I$57,$I$4:$M$54,J55,1)</f>
        <v>0.52137</v>
      </c>
      <c r="K57" s="19">
        <f>VLOOKUP($I$57,$I$4:$M$54,K55,1)</f>
        <v>1.0415000000000001</v>
      </c>
      <c r="L57" s="19">
        <f>VLOOKUP($I$57,$I$4:$M$54,L55,1)</f>
        <v>0.86882999999999999</v>
      </c>
      <c r="M57" s="19">
        <f>VLOOKUP($I$57,$I$4:$M$54,M55,1)</f>
        <v>0.92256000000000005</v>
      </c>
    </row>
    <row r="58" spans="2:15" x14ac:dyDescent="0.25">
      <c r="B58" s="19">
        <v>74</v>
      </c>
      <c r="C58" s="19">
        <v>4.2</v>
      </c>
    </row>
    <row r="59" spans="2:15" x14ac:dyDescent="0.25">
      <c r="B59" s="19">
        <v>75</v>
      </c>
      <c r="C59" s="19">
        <v>4.2</v>
      </c>
    </row>
    <row r="60" spans="2:15" x14ac:dyDescent="0.25">
      <c r="B60" s="19">
        <v>76</v>
      </c>
      <c r="C60" s="19">
        <v>4.2</v>
      </c>
      <c r="F60" s="83"/>
      <c r="G60" s="83"/>
      <c r="H60" s="83"/>
      <c r="I60" s="83"/>
      <c r="J60" s="83"/>
      <c r="K60" s="83"/>
      <c r="L60" s="83"/>
      <c r="M60" s="83"/>
      <c r="N60" s="83"/>
      <c r="O60" s="83"/>
    </row>
    <row r="61" spans="2:15" x14ac:dyDescent="0.25">
      <c r="B61" s="19">
        <v>77</v>
      </c>
      <c r="C61" s="19">
        <v>4.2</v>
      </c>
      <c r="F61" s="83"/>
      <c r="G61" s="83"/>
      <c r="H61" s="77"/>
      <c r="I61" s="83"/>
      <c r="J61" s="83"/>
      <c r="K61" s="83"/>
      <c r="L61" s="83"/>
      <c r="M61" s="83"/>
      <c r="N61" s="83"/>
      <c r="O61" s="83"/>
    </row>
    <row r="62" spans="2:15" x14ac:dyDescent="0.25">
      <c r="B62" s="19">
        <v>78</v>
      </c>
      <c r="C62" s="19">
        <v>4.2</v>
      </c>
      <c r="F62" s="83"/>
      <c r="G62" s="83"/>
      <c r="H62" s="77"/>
      <c r="I62" s="83"/>
      <c r="J62" s="83"/>
      <c r="K62" s="83"/>
      <c r="L62" s="83"/>
      <c r="M62" s="83"/>
      <c r="N62" s="83"/>
      <c r="O62" s="83"/>
    </row>
    <row r="63" spans="2:15" x14ac:dyDescent="0.25">
      <c r="B63" s="19">
        <v>79</v>
      </c>
      <c r="C63" s="19">
        <v>4.2</v>
      </c>
      <c r="F63" s="83"/>
      <c r="G63" s="83"/>
      <c r="H63" s="77"/>
      <c r="I63" s="83"/>
      <c r="J63" s="83"/>
      <c r="K63" s="83"/>
      <c r="L63" s="83"/>
      <c r="M63" s="83"/>
      <c r="N63" s="83"/>
      <c r="O63" s="83"/>
    </row>
    <row r="64" spans="2:15" x14ac:dyDescent="0.25">
      <c r="B64" s="19">
        <v>80</v>
      </c>
      <c r="C64" s="19">
        <v>4.2</v>
      </c>
      <c r="F64" s="83"/>
      <c r="G64" s="83"/>
      <c r="H64" s="77"/>
      <c r="I64" s="83"/>
      <c r="J64" s="83"/>
      <c r="K64" s="83"/>
      <c r="L64" s="83"/>
      <c r="M64" s="83"/>
      <c r="N64" s="83"/>
      <c r="O64" s="83"/>
    </row>
    <row r="65" spans="2:15" x14ac:dyDescent="0.25">
      <c r="B65" s="19">
        <v>81</v>
      </c>
      <c r="C65" s="19">
        <v>4.2</v>
      </c>
      <c r="F65" s="83"/>
      <c r="G65" s="83"/>
      <c r="H65" s="83"/>
      <c r="I65" s="83"/>
      <c r="J65" s="83"/>
      <c r="K65" s="83"/>
      <c r="L65" s="83"/>
      <c r="M65" s="83"/>
      <c r="N65" s="83"/>
      <c r="O65" s="83"/>
    </row>
    <row r="66" spans="2:15" x14ac:dyDescent="0.25">
      <c r="B66" s="19">
        <v>82</v>
      </c>
      <c r="C66" s="19">
        <v>4.2</v>
      </c>
      <c r="F66" s="83"/>
      <c r="G66" s="83"/>
      <c r="H66" s="83"/>
      <c r="I66" s="83"/>
      <c r="J66" s="83"/>
      <c r="K66" s="83"/>
      <c r="L66" s="83"/>
      <c r="M66" s="83"/>
      <c r="N66" s="83"/>
      <c r="O66" s="83"/>
    </row>
    <row r="67" spans="2:15" x14ac:dyDescent="0.25">
      <c r="B67" s="19">
        <v>83</v>
      </c>
      <c r="C67" s="19">
        <v>4.2</v>
      </c>
      <c r="F67" s="83"/>
      <c r="G67" s="94"/>
      <c r="H67" s="94"/>
      <c r="I67" s="77"/>
      <c r="J67" s="83"/>
      <c r="K67" s="84"/>
      <c r="L67" s="77"/>
      <c r="M67" s="83"/>
      <c r="N67" s="95"/>
      <c r="O67" s="77"/>
    </row>
    <row r="68" spans="2:15" x14ac:dyDescent="0.25">
      <c r="B68" s="19">
        <v>84</v>
      </c>
      <c r="C68" s="19">
        <v>4.2</v>
      </c>
      <c r="F68" s="83"/>
      <c r="G68" s="94"/>
      <c r="H68" s="94"/>
      <c r="I68" s="77"/>
      <c r="J68" s="83"/>
      <c r="K68" s="84"/>
      <c r="L68" s="77"/>
      <c r="M68" s="83"/>
      <c r="N68" s="95"/>
      <c r="O68" s="77"/>
    </row>
    <row r="69" spans="2:15" x14ac:dyDescent="0.25">
      <c r="B69" s="19">
        <v>85</v>
      </c>
      <c r="C69" s="19">
        <v>4.2</v>
      </c>
      <c r="F69" s="83"/>
      <c r="G69" s="94"/>
      <c r="H69" s="94"/>
      <c r="I69" s="77"/>
      <c r="J69" s="83"/>
      <c r="K69" s="84"/>
      <c r="L69" s="77"/>
      <c r="M69" s="83"/>
      <c r="N69" s="95"/>
      <c r="O69" s="77"/>
    </row>
    <row r="70" spans="2:15" x14ac:dyDescent="0.25">
      <c r="B70" s="19">
        <v>86</v>
      </c>
      <c r="C70" s="19">
        <v>4.2</v>
      </c>
      <c r="F70" s="83"/>
      <c r="G70" s="94"/>
      <c r="H70" s="94"/>
      <c r="I70" s="77"/>
      <c r="J70" s="83"/>
      <c r="K70" s="84"/>
      <c r="L70" s="77"/>
      <c r="M70" s="83"/>
      <c r="N70" s="95"/>
      <c r="O70" s="77"/>
    </row>
    <row r="71" spans="2:15" x14ac:dyDescent="0.25">
      <c r="B71" s="19">
        <v>87</v>
      </c>
      <c r="C71" s="19">
        <v>4.2</v>
      </c>
      <c r="F71" s="83"/>
      <c r="G71" s="83"/>
      <c r="H71" s="83"/>
      <c r="I71" s="83"/>
      <c r="J71" s="95"/>
      <c r="K71" s="83"/>
      <c r="L71" s="83"/>
      <c r="M71" s="83"/>
      <c r="N71" s="83"/>
      <c r="O71" s="77"/>
    </row>
    <row r="72" spans="2:15" x14ac:dyDescent="0.25">
      <c r="B72" s="19">
        <v>88</v>
      </c>
      <c r="C72" s="19">
        <v>4.21</v>
      </c>
      <c r="F72" s="83"/>
      <c r="G72" s="83"/>
      <c r="H72" s="83"/>
      <c r="I72" s="83"/>
      <c r="J72" s="83"/>
      <c r="K72" s="83"/>
      <c r="L72" s="83"/>
      <c r="M72" s="83"/>
      <c r="N72" s="83"/>
      <c r="O72" s="83"/>
    </row>
    <row r="73" spans="2:15" x14ac:dyDescent="0.25">
      <c r="B73" s="19">
        <v>89</v>
      </c>
      <c r="C73" s="19">
        <v>4.21</v>
      </c>
      <c r="F73" s="83"/>
      <c r="G73" s="83"/>
      <c r="H73" s="83"/>
      <c r="I73" s="83"/>
      <c r="J73" s="83"/>
      <c r="K73" s="83"/>
      <c r="L73" s="83"/>
      <c r="M73" s="83"/>
      <c r="N73" s="83"/>
      <c r="O73" s="83"/>
    </row>
    <row r="74" spans="2:15" x14ac:dyDescent="0.25">
      <c r="B74" s="19">
        <v>90</v>
      </c>
      <c r="C74" s="19">
        <v>4.21</v>
      </c>
      <c r="F74" s="83"/>
      <c r="G74" s="83"/>
      <c r="H74" s="83"/>
      <c r="I74" s="83"/>
      <c r="J74" s="83"/>
      <c r="K74" s="83"/>
      <c r="L74" s="83"/>
      <c r="M74" s="83"/>
      <c r="N74" s="83"/>
      <c r="O74" s="83"/>
    </row>
    <row r="75" spans="2:15" x14ac:dyDescent="0.25">
      <c r="B75" s="19">
        <v>91</v>
      </c>
      <c r="C75" s="19">
        <v>4.21</v>
      </c>
      <c r="F75" s="83"/>
      <c r="G75" s="83"/>
      <c r="H75" s="83"/>
      <c r="I75" s="83"/>
      <c r="J75" s="83"/>
      <c r="K75" s="83"/>
      <c r="L75" s="83"/>
      <c r="M75" s="83"/>
      <c r="N75" s="83"/>
      <c r="O75" s="83"/>
    </row>
    <row r="76" spans="2:15" x14ac:dyDescent="0.25">
      <c r="B76" s="19">
        <v>92</v>
      </c>
      <c r="C76" s="19">
        <v>4.21</v>
      </c>
    </row>
    <row r="77" spans="2:15" x14ac:dyDescent="0.25">
      <c r="B77" s="19">
        <v>93</v>
      </c>
      <c r="C77" s="19">
        <v>4.21</v>
      </c>
    </row>
    <row r="78" spans="2:15" x14ac:dyDescent="0.25">
      <c r="B78" s="19">
        <v>94</v>
      </c>
      <c r="C78" s="19">
        <v>4.21</v>
      </c>
    </row>
    <row r="79" spans="2:15" x14ac:dyDescent="0.25">
      <c r="B79" s="19">
        <v>95</v>
      </c>
      <c r="C79" s="19">
        <v>4.21</v>
      </c>
    </row>
    <row r="80" spans="2:15" x14ac:dyDescent="0.25">
      <c r="B80" s="19">
        <v>96</v>
      </c>
      <c r="C80" s="19">
        <v>4.21</v>
      </c>
    </row>
    <row r="81" spans="2:3" x14ac:dyDescent="0.25">
      <c r="B81" s="19">
        <v>97</v>
      </c>
      <c r="C81" s="19">
        <v>4.21</v>
      </c>
    </row>
    <row r="82" spans="2:3" x14ac:dyDescent="0.25">
      <c r="B82" s="19">
        <v>98</v>
      </c>
      <c r="C82" s="19">
        <v>4.21</v>
      </c>
    </row>
    <row r="83" spans="2:3" x14ac:dyDescent="0.25">
      <c r="B83" s="19">
        <v>99</v>
      </c>
      <c r="C83" s="19">
        <v>4.21</v>
      </c>
    </row>
    <row r="84" spans="2:3" x14ac:dyDescent="0.25">
      <c r="B84" s="19">
        <v>100</v>
      </c>
      <c r="C84" s="19">
        <v>4.22</v>
      </c>
    </row>
    <row r="85" spans="2:3" x14ac:dyDescent="0.25">
      <c r="B85" s="19">
        <v>101</v>
      </c>
      <c r="C85" s="19">
        <v>4.22</v>
      </c>
    </row>
    <row r="86" spans="2:3" x14ac:dyDescent="0.25">
      <c r="B86" s="19">
        <v>102</v>
      </c>
      <c r="C86" s="19">
        <v>4.22</v>
      </c>
    </row>
    <row r="87" spans="2:3" x14ac:dyDescent="0.25">
      <c r="B87" s="19">
        <v>103</v>
      </c>
      <c r="C87" s="19">
        <v>4.22</v>
      </c>
    </row>
    <row r="88" spans="2:3" x14ac:dyDescent="0.25">
      <c r="B88" s="19">
        <v>104</v>
      </c>
      <c r="C88" s="19">
        <v>4.22</v>
      </c>
    </row>
    <row r="89" spans="2:3" x14ac:dyDescent="0.25">
      <c r="B89" s="19">
        <v>105</v>
      </c>
      <c r="C89" s="19">
        <v>4.22</v>
      </c>
    </row>
    <row r="90" spans="2:3" x14ac:dyDescent="0.25">
      <c r="B90" s="19">
        <v>106</v>
      </c>
      <c r="C90" s="19">
        <v>4.22</v>
      </c>
    </row>
    <row r="91" spans="2:3" x14ac:dyDescent="0.25">
      <c r="B91" s="19">
        <v>107</v>
      </c>
      <c r="C91" s="19">
        <v>4.22</v>
      </c>
    </row>
    <row r="92" spans="2:3" x14ac:dyDescent="0.25">
      <c r="B92" s="19">
        <v>108</v>
      </c>
      <c r="C92" s="19">
        <v>4.22</v>
      </c>
    </row>
    <row r="93" spans="2:3" x14ac:dyDescent="0.25">
      <c r="B93" s="19">
        <v>109</v>
      </c>
      <c r="C93" s="19">
        <v>4.2300000000000004</v>
      </c>
    </row>
    <row r="94" spans="2:3" x14ac:dyDescent="0.25">
      <c r="B94" s="19">
        <v>110</v>
      </c>
      <c r="C94" s="19">
        <v>4.2300000000000004</v>
      </c>
    </row>
    <row r="95" spans="2:3" x14ac:dyDescent="0.25">
      <c r="B95" s="19">
        <v>111</v>
      </c>
      <c r="C95" s="19">
        <v>4.2300000000000004</v>
      </c>
    </row>
    <row r="96" spans="2:3" x14ac:dyDescent="0.25">
      <c r="B96" s="19">
        <v>112</v>
      </c>
      <c r="C96" s="19">
        <v>4.2300000000000004</v>
      </c>
    </row>
    <row r="97" spans="2:3" x14ac:dyDescent="0.25">
      <c r="B97" s="19">
        <v>113</v>
      </c>
      <c r="C97" s="19">
        <v>4.2300000000000004</v>
      </c>
    </row>
    <row r="98" spans="2:3" x14ac:dyDescent="0.25">
      <c r="B98" s="19">
        <v>114</v>
      </c>
      <c r="C98" s="19">
        <v>4.2300000000000004</v>
      </c>
    </row>
    <row r="99" spans="2:3" x14ac:dyDescent="0.25">
      <c r="B99" s="19">
        <v>115</v>
      </c>
      <c r="C99" s="19">
        <v>4.2300000000000004</v>
      </c>
    </row>
    <row r="100" spans="2:3" x14ac:dyDescent="0.25">
      <c r="B100" s="19">
        <v>116</v>
      </c>
      <c r="C100" s="19">
        <v>4.2300000000000004</v>
      </c>
    </row>
    <row r="101" spans="2:3" x14ac:dyDescent="0.25">
      <c r="B101" s="19">
        <v>117</v>
      </c>
      <c r="C101" s="19">
        <v>4.24</v>
      </c>
    </row>
    <row r="102" spans="2:3" x14ac:dyDescent="0.25">
      <c r="B102" s="19">
        <v>118</v>
      </c>
      <c r="C102" s="19">
        <v>4.24</v>
      </c>
    </row>
    <row r="103" spans="2:3" x14ac:dyDescent="0.25">
      <c r="B103" s="19">
        <v>119</v>
      </c>
      <c r="C103" s="19">
        <v>4.24</v>
      </c>
    </row>
    <row r="104" spans="2:3" x14ac:dyDescent="0.25">
      <c r="B104" s="19">
        <v>120</v>
      </c>
      <c r="C104" s="19">
        <v>4.24</v>
      </c>
    </row>
    <row r="105" spans="2:3" x14ac:dyDescent="0.25">
      <c r="B105" s="19">
        <v>121</v>
      </c>
      <c r="C105" s="19">
        <v>4.24</v>
      </c>
    </row>
    <row r="106" spans="2:3" x14ac:dyDescent="0.25">
      <c r="B106" s="19">
        <v>122</v>
      </c>
      <c r="C106" s="19">
        <v>4.24</v>
      </c>
    </row>
    <row r="107" spans="2:3" x14ac:dyDescent="0.25">
      <c r="B107" s="19">
        <v>123</v>
      </c>
      <c r="C107" s="19">
        <v>4.24</v>
      </c>
    </row>
    <row r="108" spans="2:3" x14ac:dyDescent="0.25">
      <c r="B108" s="19">
        <v>124</v>
      </c>
      <c r="C108" s="19">
        <v>4.25</v>
      </c>
    </row>
    <row r="109" spans="2:3" x14ac:dyDescent="0.25">
      <c r="B109" s="19">
        <v>125</v>
      </c>
      <c r="C109" s="19">
        <v>4.25</v>
      </c>
    </row>
    <row r="110" spans="2:3" x14ac:dyDescent="0.25">
      <c r="B110" s="19">
        <v>126</v>
      </c>
      <c r="C110" s="19">
        <v>4.25</v>
      </c>
    </row>
    <row r="111" spans="2:3" x14ac:dyDescent="0.25">
      <c r="B111" s="19">
        <v>127</v>
      </c>
      <c r="C111" s="19">
        <v>4.25</v>
      </c>
    </row>
    <row r="112" spans="2:3" x14ac:dyDescent="0.25">
      <c r="B112" s="19">
        <v>128</v>
      </c>
      <c r="C112" s="19">
        <v>4.25</v>
      </c>
    </row>
    <row r="113" spans="2:3" x14ac:dyDescent="0.25">
      <c r="B113" s="19">
        <v>129</v>
      </c>
      <c r="C113" s="19">
        <v>4.26</v>
      </c>
    </row>
    <row r="114" spans="2:3" x14ac:dyDescent="0.25">
      <c r="B114" s="19">
        <v>130</v>
      </c>
      <c r="C114" s="19">
        <v>4.26</v>
      </c>
    </row>
    <row r="115" spans="2:3" x14ac:dyDescent="0.25">
      <c r="B115" s="19">
        <v>131</v>
      </c>
      <c r="C115" s="19">
        <v>4.26</v>
      </c>
    </row>
    <row r="116" spans="2:3" x14ac:dyDescent="0.25">
      <c r="B116" s="19">
        <v>132</v>
      </c>
      <c r="C116" s="19">
        <v>4.26</v>
      </c>
    </row>
    <row r="117" spans="2:3" x14ac:dyDescent="0.25">
      <c r="B117" s="19">
        <v>133</v>
      </c>
      <c r="C117" s="19">
        <v>4.26</v>
      </c>
    </row>
    <row r="118" spans="2:3" x14ac:dyDescent="0.25">
      <c r="B118" s="19">
        <v>134</v>
      </c>
      <c r="C118" s="19">
        <v>4.26</v>
      </c>
    </row>
    <row r="119" spans="2:3" x14ac:dyDescent="0.25">
      <c r="B119" s="19">
        <v>135</v>
      </c>
      <c r="C119" s="19">
        <v>4.2699999999999996</v>
      </c>
    </row>
    <row r="120" spans="2:3" x14ac:dyDescent="0.25">
      <c r="B120" s="19">
        <v>136</v>
      </c>
      <c r="C120" s="19">
        <v>4.2699999999999996</v>
      </c>
    </row>
    <row r="121" spans="2:3" x14ac:dyDescent="0.25">
      <c r="B121" s="19">
        <v>137</v>
      </c>
      <c r="C121" s="19">
        <v>4.2699999999999996</v>
      </c>
    </row>
    <row r="122" spans="2:3" x14ac:dyDescent="0.25">
      <c r="B122" s="19">
        <v>138</v>
      </c>
      <c r="C122" s="19">
        <v>4.2699999999999996</v>
      </c>
    </row>
    <row r="123" spans="2:3" x14ac:dyDescent="0.25">
      <c r="B123" s="19">
        <v>139</v>
      </c>
      <c r="C123" s="19">
        <v>4.28</v>
      </c>
    </row>
    <row r="124" spans="2:3" x14ac:dyDescent="0.25">
      <c r="B124" s="19">
        <v>140</v>
      </c>
      <c r="C124" s="19">
        <v>4.28</v>
      </c>
    </row>
    <row r="125" spans="2:3" x14ac:dyDescent="0.25">
      <c r="B125" s="19">
        <v>141</v>
      </c>
      <c r="C125" s="19">
        <v>4.28</v>
      </c>
    </row>
    <row r="126" spans="2:3" x14ac:dyDescent="0.25">
      <c r="B126" s="19">
        <v>142</v>
      </c>
      <c r="C126" s="19">
        <v>4.28</v>
      </c>
    </row>
    <row r="127" spans="2:3" x14ac:dyDescent="0.25">
      <c r="B127" s="19">
        <v>143</v>
      </c>
      <c r="C127" s="19">
        <v>4.29</v>
      </c>
    </row>
    <row r="128" spans="2:3" x14ac:dyDescent="0.25">
      <c r="B128" s="19">
        <v>144</v>
      </c>
      <c r="C128" s="19">
        <v>4.29</v>
      </c>
    </row>
    <row r="129" spans="2:3" x14ac:dyDescent="0.25">
      <c r="B129" s="19">
        <v>145</v>
      </c>
      <c r="C129" s="19">
        <v>4.29</v>
      </c>
    </row>
    <row r="130" spans="2:3" x14ac:dyDescent="0.25">
      <c r="B130" s="19">
        <v>146</v>
      </c>
      <c r="C130" s="19">
        <v>4.29</v>
      </c>
    </row>
    <row r="131" spans="2:3" x14ac:dyDescent="0.25">
      <c r="B131" s="19">
        <v>147</v>
      </c>
      <c r="C131" s="19">
        <v>4.3</v>
      </c>
    </row>
    <row r="132" spans="2:3" x14ac:dyDescent="0.25">
      <c r="B132" s="19">
        <v>148</v>
      </c>
      <c r="C132" s="19">
        <v>4.3</v>
      </c>
    </row>
    <row r="133" spans="2:3" x14ac:dyDescent="0.25">
      <c r="B133" s="19">
        <v>149</v>
      </c>
      <c r="C133" s="19">
        <v>4.3</v>
      </c>
    </row>
    <row r="134" spans="2:3" x14ac:dyDescent="0.25">
      <c r="B134" s="19">
        <v>150</v>
      </c>
      <c r="C134" s="19">
        <v>4.3</v>
      </c>
    </row>
  </sheetData>
  <mergeCells count="3">
    <mergeCell ref="B2:C2"/>
    <mergeCell ref="D2:E2"/>
    <mergeCell ref="F2:G2"/>
  </mergeCells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B2:D44"/>
  <sheetViews>
    <sheetView workbookViewId="0">
      <selection activeCell="C12" sqref="C12"/>
    </sheetView>
  </sheetViews>
  <sheetFormatPr defaultRowHeight="15" x14ac:dyDescent="0.25"/>
  <cols>
    <col min="1" max="1" width="8.796875" style="19"/>
    <col min="2" max="2" width="12" style="19" customWidth="1"/>
    <col min="3" max="3" width="20.59765625" style="19" customWidth="1"/>
    <col min="4" max="16384" width="8.796875" style="19"/>
  </cols>
  <sheetData>
    <row r="2" spans="2:4" x14ac:dyDescent="0.25">
      <c r="B2" s="212" t="s">
        <v>75</v>
      </c>
      <c r="C2" s="212"/>
    </row>
    <row r="3" spans="2:4" ht="18.75" x14ac:dyDescent="0.35">
      <c r="B3" s="19" t="s">
        <v>74</v>
      </c>
      <c r="C3" s="38" t="s">
        <v>76</v>
      </c>
      <c r="D3" s="38"/>
    </row>
    <row r="4" spans="2:4" x14ac:dyDescent="0.25">
      <c r="B4" s="19">
        <v>0</v>
      </c>
      <c r="C4" s="19">
        <f>8.314462618*(B4+273.15)/101325</f>
        <v>2.2413969544601037E-2</v>
      </c>
    </row>
    <row r="5" spans="2:4" x14ac:dyDescent="0.25">
      <c r="B5" s="19">
        <f>B4+5</f>
        <v>5</v>
      </c>
      <c r="C5" s="19">
        <f t="shared" ref="C5:C44" si="0">8.314462618*(B5+273.15)/101325</f>
        <v>2.282425637499827E-2</v>
      </c>
    </row>
    <row r="6" spans="2:4" x14ac:dyDescent="0.25">
      <c r="B6" s="19">
        <f t="shared" ref="B6:B44" si="1">B5+5</f>
        <v>10</v>
      </c>
      <c r="C6" s="19">
        <f t="shared" si="0"/>
        <v>2.3234543205395506E-2</v>
      </c>
    </row>
    <row r="7" spans="2:4" x14ac:dyDescent="0.25">
      <c r="B7" s="19">
        <f t="shared" si="1"/>
        <v>15</v>
      </c>
      <c r="C7" s="19">
        <f t="shared" si="0"/>
        <v>2.3644830035792746E-2</v>
      </c>
    </row>
    <row r="8" spans="2:4" x14ac:dyDescent="0.25">
      <c r="B8" s="19">
        <f t="shared" si="1"/>
        <v>20</v>
      </c>
      <c r="C8" s="19">
        <f t="shared" si="0"/>
        <v>2.4055116866189982E-2</v>
      </c>
    </row>
    <row r="9" spans="2:4" x14ac:dyDescent="0.25">
      <c r="B9" s="19">
        <f t="shared" si="1"/>
        <v>25</v>
      </c>
      <c r="C9" s="19">
        <f t="shared" si="0"/>
        <v>2.4465403696587219E-2</v>
      </c>
    </row>
    <row r="10" spans="2:4" x14ac:dyDescent="0.25">
      <c r="B10" s="19">
        <f t="shared" si="1"/>
        <v>30</v>
      </c>
      <c r="C10" s="19">
        <f t="shared" si="0"/>
        <v>2.4875690526984458E-2</v>
      </c>
    </row>
    <row r="11" spans="2:4" x14ac:dyDescent="0.25">
      <c r="B11" s="19">
        <f t="shared" si="1"/>
        <v>35</v>
      </c>
      <c r="C11" s="19">
        <f t="shared" si="0"/>
        <v>2.5285977357381691E-2</v>
      </c>
    </row>
    <row r="12" spans="2:4" x14ac:dyDescent="0.25">
      <c r="B12" s="19">
        <f t="shared" si="1"/>
        <v>40</v>
      </c>
      <c r="C12" s="19">
        <f t="shared" si="0"/>
        <v>2.5696264187778928E-2</v>
      </c>
    </row>
    <row r="13" spans="2:4" x14ac:dyDescent="0.25">
      <c r="B13" s="19">
        <f t="shared" si="1"/>
        <v>45</v>
      </c>
      <c r="C13" s="19">
        <f t="shared" si="0"/>
        <v>2.6106551018176164E-2</v>
      </c>
    </row>
    <row r="14" spans="2:4" x14ac:dyDescent="0.25">
      <c r="B14" s="19">
        <f t="shared" si="1"/>
        <v>50</v>
      </c>
      <c r="C14" s="19">
        <f t="shared" si="0"/>
        <v>2.65168378485734E-2</v>
      </c>
    </row>
    <row r="15" spans="2:4" x14ac:dyDescent="0.25">
      <c r="B15" s="19">
        <f t="shared" si="1"/>
        <v>55</v>
      </c>
      <c r="C15" s="19">
        <f t="shared" si="0"/>
        <v>2.692712467897064E-2</v>
      </c>
    </row>
    <row r="16" spans="2:4" x14ac:dyDescent="0.25">
      <c r="B16" s="19">
        <f t="shared" si="1"/>
        <v>60</v>
      </c>
      <c r="C16" s="19">
        <f t="shared" si="0"/>
        <v>2.7337411509367877E-2</v>
      </c>
    </row>
    <row r="17" spans="2:3" x14ac:dyDescent="0.25">
      <c r="B17" s="19">
        <f t="shared" si="1"/>
        <v>65</v>
      </c>
      <c r="C17" s="19">
        <f t="shared" si="0"/>
        <v>2.774769833976511E-2</v>
      </c>
    </row>
    <row r="18" spans="2:3" x14ac:dyDescent="0.25">
      <c r="B18" s="19">
        <f t="shared" si="1"/>
        <v>70</v>
      </c>
      <c r="C18" s="19">
        <f t="shared" si="0"/>
        <v>2.8157985170162346E-2</v>
      </c>
    </row>
    <row r="19" spans="2:3" x14ac:dyDescent="0.25">
      <c r="B19" s="19">
        <f t="shared" si="1"/>
        <v>75</v>
      </c>
      <c r="C19" s="19">
        <f t="shared" si="0"/>
        <v>2.8568272000559586E-2</v>
      </c>
    </row>
    <row r="20" spans="2:3" x14ac:dyDescent="0.25">
      <c r="B20" s="19">
        <f t="shared" si="1"/>
        <v>80</v>
      </c>
      <c r="C20" s="19">
        <f t="shared" si="0"/>
        <v>2.8978558830956822E-2</v>
      </c>
    </row>
    <row r="21" spans="2:3" x14ac:dyDescent="0.25">
      <c r="B21" s="19">
        <f t="shared" si="1"/>
        <v>85</v>
      </c>
      <c r="C21" s="19">
        <f t="shared" si="0"/>
        <v>2.9388845661354059E-2</v>
      </c>
    </row>
    <row r="22" spans="2:3" x14ac:dyDescent="0.25">
      <c r="B22" s="19">
        <f t="shared" si="1"/>
        <v>90</v>
      </c>
      <c r="C22" s="19">
        <f t="shared" si="0"/>
        <v>2.9799132491751291E-2</v>
      </c>
    </row>
    <row r="23" spans="2:3" x14ac:dyDescent="0.25">
      <c r="B23" s="19">
        <f t="shared" si="1"/>
        <v>95</v>
      </c>
      <c r="C23" s="19">
        <f t="shared" si="0"/>
        <v>3.0209419322148531E-2</v>
      </c>
    </row>
    <row r="24" spans="2:3" x14ac:dyDescent="0.25">
      <c r="B24" s="19">
        <f t="shared" si="1"/>
        <v>100</v>
      </c>
      <c r="C24" s="19">
        <f t="shared" si="0"/>
        <v>3.0619706152545768E-2</v>
      </c>
    </row>
    <row r="25" spans="2:3" x14ac:dyDescent="0.25">
      <c r="B25" s="19">
        <f t="shared" si="1"/>
        <v>105</v>
      </c>
      <c r="C25" s="19">
        <f t="shared" si="0"/>
        <v>3.1029992982943004E-2</v>
      </c>
    </row>
    <row r="26" spans="2:3" x14ac:dyDescent="0.25">
      <c r="B26" s="19">
        <f t="shared" si="1"/>
        <v>110</v>
      </c>
      <c r="C26" s="19">
        <f t="shared" si="0"/>
        <v>3.1440279813340244E-2</v>
      </c>
    </row>
    <row r="27" spans="2:3" x14ac:dyDescent="0.25">
      <c r="B27" s="19">
        <f t="shared" si="1"/>
        <v>115</v>
      </c>
      <c r="C27" s="19">
        <f t="shared" si="0"/>
        <v>3.1850566643737477E-2</v>
      </c>
    </row>
    <row r="28" spans="2:3" x14ac:dyDescent="0.25">
      <c r="B28" s="19">
        <f t="shared" si="1"/>
        <v>120</v>
      </c>
      <c r="C28" s="19">
        <f t="shared" si="0"/>
        <v>3.226085347413471E-2</v>
      </c>
    </row>
    <row r="29" spans="2:3" x14ac:dyDescent="0.25">
      <c r="B29" s="19">
        <f t="shared" si="1"/>
        <v>125</v>
      </c>
      <c r="C29" s="19">
        <f t="shared" si="0"/>
        <v>3.267114030453195E-2</v>
      </c>
    </row>
    <row r="30" spans="2:3" x14ac:dyDescent="0.25">
      <c r="B30" s="19">
        <f t="shared" si="1"/>
        <v>130</v>
      </c>
      <c r="C30" s="19">
        <f t="shared" si="0"/>
        <v>3.3081427134929189E-2</v>
      </c>
    </row>
    <row r="31" spans="2:3" x14ac:dyDescent="0.25">
      <c r="B31" s="19">
        <f t="shared" si="1"/>
        <v>135</v>
      </c>
      <c r="C31" s="19">
        <f t="shared" si="0"/>
        <v>3.3491713965326422E-2</v>
      </c>
    </row>
    <row r="32" spans="2:3" x14ac:dyDescent="0.25">
      <c r="B32" s="19">
        <f t="shared" si="1"/>
        <v>140</v>
      </c>
      <c r="C32" s="19">
        <f t="shared" si="0"/>
        <v>3.3902000795723662E-2</v>
      </c>
    </row>
    <row r="33" spans="2:3" x14ac:dyDescent="0.25">
      <c r="B33" s="19">
        <f>B32+5</f>
        <v>145</v>
      </c>
      <c r="C33" s="19">
        <f t="shared" si="0"/>
        <v>3.4312287626120902E-2</v>
      </c>
    </row>
    <row r="34" spans="2:3" x14ac:dyDescent="0.25">
      <c r="B34" s="19">
        <f t="shared" si="1"/>
        <v>150</v>
      </c>
      <c r="C34" s="19">
        <f t="shared" si="0"/>
        <v>3.4722574456518135E-2</v>
      </c>
    </row>
    <row r="35" spans="2:3" x14ac:dyDescent="0.25">
      <c r="B35" s="19">
        <f t="shared" si="1"/>
        <v>155</v>
      </c>
      <c r="C35" s="19">
        <f t="shared" si="0"/>
        <v>3.5132861286915368E-2</v>
      </c>
    </row>
    <row r="36" spans="2:3" x14ac:dyDescent="0.25">
      <c r="B36" s="19">
        <f t="shared" si="1"/>
        <v>160</v>
      </c>
      <c r="C36" s="19">
        <f t="shared" si="0"/>
        <v>3.5543148117312608E-2</v>
      </c>
    </row>
    <row r="37" spans="2:3" x14ac:dyDescent="0.25">
      <c r="B37" s="19">
        <f t="shared" si="1"/>
        <v>165</v>
      </c>
      <c r="C37" s="19">
        <f t="shared" si="0"/>
        <v>3.5953434947709847E-2</v>
      </c>
    </row>
    <row r="38" spans="2:3" x14ac:dyDescent="0.25">
      <c r="B38" s="19">
        <f>B37+5</f>
        <v>170</v>
      </c>
      <c r="C38" s="19">
        <f t="shared" si="0"/>
        <v>3.636372177810708E-2</v>
      </c>
    </row>
    <row r="39" spans="2:3" x14ac:dyDescent="0.25">
      <c r="B39" s="19">
        <f t="shared" si="1"/>
        <v>175</v>
      </c>
      <c r="C39" s="19">
        <f t="shared" si="0"/>
        <v>3.677400860850432E-2</v>
      </c>
    </row>
    <row r="40" spans="2:3" x14ac:dyDescent="0.25">
      <c r="B40" s="19">
        <f t="shared" si="1"/>
        <v>180</v>
      </c>
      <c r="C40" s="19">
        <f t="shared" si="0"/>
        <v>3.7184295438901553E-2</v>
      </c>
    </row>
    <row r="41" spans="2:3" x14ac:dyDescent="0.25">
      <c r="B41" s="19">
        <f t="shared" si="1"/>
        <v>185</v>
      </c>
      <c r="C41" s="19">
        <f t="shared" si="0"/>
        <v>3.7594582269298793E-2</v>
      </c>
    </row>
    <row r="42" spans="2:3" x14ac:dyDescent="0.25">
      <c r="B42" s="19">
        <f t="shared" si="1"/>
        <v>190</v>
      </c>
      <c r="C42" s="19">
        <f t="shared" si="0"/>
        <v>3.8004869099696026E-2</v>
      </c>
    </row>
    <row r="43" spans="2:3" x14ac:dyDescent="0.25">
      <c r="B43" s="19">
        <f t="shared" si="1"/>
        <v>195</v>
      </c>
      <c r="C43" s="19">
        <f t="shared" si="0"/>
        <v>3.8415155930093266E-2</v>
      </c>
    </row>
    <row r="44" spans="2:3" x14ac:dyDescent="0.25">
      <c r="B44" s="19">
        <f t="shared" si="1"/>
        <v>200</v>
      </c>
      <c r="C44" s="19">
        <f t="shared" si="0"/>
        <v>3.8825442760490499E-2</v>
      </c>
    </row>
  </sheetData>
  <mergeCells count="1">
    <mergeCell ref="B2:C2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B2:I112"/>
  <sheetViews>
    <sheetView workbookViewId="0">
      <selection activeCell="E18" sqref="E18"/>
    </sheetView>
  </sheetViews>
  <sheetFormatPr defaultColWidth="8.69921875" defaultRowHeight="15" x14ac:dyDescent="0.25"/>
  <cols>
    <col min="1" max="1" width="8.69921875" style="19"/>
    <col min="2" max="2" width="12.59765625" style="19" customWidth="1"/>
    <col min="3" max="3" width="17.8984375" style="19" customWidth="1"/>
    <col min="4" max="5" width="8.69921875" style="19"/>
    <col min="6" max="8" width="11.09765625" style="19" customWidth="1"/>
    <col min="9" max="9" width="17.69921875" style="19" customWidth="1"/>
    <col min="10" max="16384" width="8.69921875" style="19"/>
  </cols>
  <sheetData>
    <row r="2" spans="2:9" x14ac:dyDescent="0.25">
      <c r="C2" s="19" t="s">
        <v>55</v>
      </c>
    </row>
    <row r="3" spans="2:9" ht="18" x14ac:dyDescent="0.35">
      <c r="B3" s="19" t="s">
        <v>54</v>
      </c>
      <c r="C3" s="19" t="s">
        <v>56</v>
      </c>
      <c r="D3" s="19" t="s">
        <v>54</v>
      </c>
      <c r="F3" s="19" t="s">
        <v>78</v>
      </c>
      <c r="G3" s="19" t="s">
        <v>79</v>
      </c>
      <c r="H3" s="19" t="s">
        <v>80</v>
      </c>
      <c r="I3" s="19" t="s">
        <v>81</v>
      </c>
    </row>
    <row r="4" spans="2:9" x14ac:dyDescent="0.25">
      <c r="B4" s="19">
        <v>99</v>
      </c>
      <c r="C4" s="19">
        <v>17.524999999999999</v>
      </c>
      <c r="D4" s="19">
        <v>99</v>
      </c>
      <c r="F4" s="19">
        <v>1</v>
      </c>
      <c r="G4" s="19">
        <v>8.4670000000000005</v>
      </c>
      <c r="H4" s="19">
        <v>17.524999999999999</v>
      </c>
      <c r="I4" s="19">
        <f>ROUND((-0.00005)*(NIISKUS_X^4)+(0.0034*(NIISKUS_X^3))-(0.0853*(NIISKUS_X^2))+(1.0685*NIISKUS_X)+93.294,2)</f>
        <v>93.5</v>
      </c>
    </row>
    <row r="5" spans="2:9" x14ac:dyDescent="0.25">
      <c r="B5" s="19">
        <v>98.9</v>
      </c>
      <c r="C5" s="19">
        <v>15.86</v>
      </c>
      <c r="D5" s="19">
        <v>98.9</v>
      </c>
      <c r="F5" s="19">
        <v>2</v>
      </c>
      <c r="G5" s="19">
        <v>2.5630000000000002</v>
      </c>
      <c r="H5" s="19">
        <v>8.4670000000000005</v>
      </c>
      <c r="I5" s="19">
        <f>ROUND((-0.0075*(NIISKUS_X^4))+(0.184*(NIISKUS_X^3))-(1.6745*(NIISKUS_X^2))+(7.5355*NIISKUS_X)+82.963,2)</f>
        <v>84.37</v>
      </c>
    </row>
    <row r="6" spans="2:9" x14ac:dyDescent="0.25">
      <c r="B6" s="19">
        <v>98.800000000000011</v>
      </c>
      <c r="C6" s="19">
        <v>14.478</v>
      </c>
      <c r="D6" s="19">
        <v>98.800000000000011</v>
      </c>
      <c r="F6" s="19">
        <v>3</v>
      </c>
      <c r="G6" s="19">
        <v>1.401</v>
      </c>
      <c r="H6" s="19">
        <v>2.5630000000000002</v>
      </c>
      <c r="I6" s="19">
        <f>ROUND((0.6928*(NIISKUS_X^3))-(5.6179*(NIISKUS_X^2))+(17.312*NIISKUS_X)+74.869,2)</f>
        <v>78.03</v>
      </c>
    </row>
    <row r="7" spans="2:9" x14ac:dyDescent="0.25">
      <c r="B7" s="19">
        <v>98.700000000000017</v>
      </c>
      <c r="C7" s="19">
        <v>13.313000000000001</v>
      </c>
      <c r="D7" s="19">
        <v>98.700000000000017</v>
      </c>
      <c r="F7" s="19">
        <v>4</v>
      </c>
      <c r="G7" s="19">
        <v>0.54700000000000004</v>
      </c>
      <c r="H7" s="19">
        <v>1.401</v>
      </c>
      <c r="I7" s="19">
        <f>ROUND((-9.4488*(NIISKUS_X^2))+(29.762*NIISKUS_X)+66.749,2)</f>
        <v>72.180000000000007</v>
      </c>
    </row>
    <row r="8" spans="2:9" x14ac:dyDescent="0.25">
      <c r="B8" s="19">
        <v>98.600000000000023</v>
      </c>
      <c r="C8" s="19">
        <v>12.319000000000001</v>
      </c>
      <c r="D8" s="19">
        <v>98.600000000000023</v>
      </c>
      <c r="F8" s="19">
        <v>5</v>
      </c>
      <c r="G8" s="19">
        <v>0.20399999999999999</v>
      </c>
      <c r="H8" s="19">
        <v>0.54700000000000004</v>
      </c>
      <c r="I8" s="19">
        <f>ROUND((-76.803*(NIISKUS_X^2))+(100.08*NIISKUS_X)+48.023,2)</f>
        <v>64.58</v>
      </c>
    </row>
    <row r="9" spans="2:9" x14ac:dyDescent="0.25">
      <c r="B9" s="19">
        <v>98.500000000000028</v>
      </c>
      <c r="C9" s="19">
        <v>11.459</v>
      </c>
      <c r="D9" s="19">
        <v>98.500000000000028</v>
      </c>
      <c r="F9" s="19">
        <v>6</v>
      </c>
      <c r="G9" s="19">
        <v>4.8899999999999999E-2</v>
      </c>
      <c r="H9" s="19">
        <v>0.20399999999999999</v>
      </c>
      <c r="I9" s="19">
        <f>ROUND((-733.12*(NIISKUS_X^2))+(338.09*NIISKUS_X)+25.924,2)</f>
        <v>63.95</v>
      </c>
    </row>
    <row r="10" spans="2:9" x14ac:dyDescent="0.25">
      <c r="B10" s="19">
        <v>98.400000000000034</v>
      </c>
      <c r="C10" s="19">
        <v>10.708</v>
      </c>
      <c r="D10" s="19">
        <v>98.400000000000034</v>
      </c>
      <c r="F10" s="19">
        <v>7</v>
      </c>
      <c r="G10" s="19">
        <v>1.47E-2</v>
      </c>
      <c r="H10" s="19">
        <v>4.8899999999999999E-2</v>
      </c>
      <c r="I10" s="19">
        <f>ROUND((-9143.8*(NIISKUS_X^2))+(1146.9*NIISKUS_X)+5.4716,2)</f>
        <v>-117.27</v>
      </c>
    </row>
    <row r="11" spans="2:9" x14ac:dyDescent="0.25">
      <c r="B11" s="19">
        <v>98.30000000000004</v>
      </c>
      <c r="C11" s="19">
        <v>10.047000000000001</v>
      </c>
      <c r="D11" s="19">
        <v>98.30000000000004</v>
      </c>
    </row>
    <row r="12" spans="2:9" x14ac:dyDescent="0.25">
      <c r="B12" s="19">
        <v>98.200000000000045</v>
      </c>
      <c r="C12" s="19">
        <v>9.4600000000000009</v>
      </c>
      <c r="D12" s="19">
        <v>98.200000000000045</v>
      </c>
    </row>
    <row r="13" spans="2:9" x14ac:dyDescent="0.25">
      <c r="B13" s="19">
        <v>98.1</v>
      </c>
      <c r="C13" s="19">
        <v>8.9359999999999999</v>
      </c>
      <c r="D13" s="19">
        <v>98.1</v>
      </c>
    </row>
    <row r="14" spans="2:9" x14ac:dyDescent="0.25">
      <c r="B14" s="19">
        <v>98</v>
      </c>
      <c r="C14" s="19">
        <v>8.4670000000000005</v>
      </c>
      <c r="D14" s="19">
        <v>98</v>
      </c>
    </row>
    <row r="15" spans="2:9" x14ac:dyDescent="0.25">
      <c r="B15" s="19">
        <f>B14-1</f>
        <v>97</v>
      </c>
      <c r="C15" s="19">
        <v>5.5</v>
      </c>
      <c r="D15" s="19">
        <f t="shared" ref="D15:D46" si="0">D14-1</f>
        <v>97</v>
      </c>
    </row>
    <row r="16" spans="2:9" x14ac:dyDescent="0.25">
      <c r="B16" s="19">
        <f t="shared" ref="B16:B79" si="1">B15-1</f>
        <v>96</v>
      </c>
      <c r="C16" s="19">
        <v>4.0270000000000001</v>
      </c>
      <c r="D16" s="19">
        <f t="shared" si="0"/>
        <v>96</v>
      </c>
    </row>
    <row r="17" spans="2:4" x14ac:dyDescent="0.25">
      <c r="B17" s="19">
        <f t="shared" si="1"/>
        <v>95</v>
      </c>
      <c r="C17" s="19">
        <v>3.1480000000000001</v>
      </c>
      <c r="D17" s="19">
        <f t="shared" si="0"/>
        <v>95</v>
      </c>
    </row>
    <row r="18" spans="2:4" x14ac:dyDescent="0.25">
      <c r="B18" s="19">
        <f t="shared" si="1"/>
        <v>94</v>
      </c>
      <c r="C18" s="19">
        <v>2.5630000000000002</v>
      </c>
      <c r="D18" s="19">
        <f t="shared" si="0"/>
        <v>94</v>
      </c>
    </row>
    <row r="19" spans="2:4" x14ac:dyDescent="0.25">
      <c r="B19" s="19">
        <f t="shared" si="1"/>
        <v>93</v>
      </c>
      <c r="C19" s="19">
        <v>2.1469999999999998</v>
      </c>
      <c r="D19" s="19">
        <f t="shared" si="0"/>
        <v>93</v>
      </c>
    </row>
    <row r="20" spans="2:4" x14ac:dyDescent="0.25">
      <c r="B20" s="19">
        <f t="shared" si="1"/>
        <v>92</v>
      </c>
      <c r="C20" s="19">
        <v>1.8360000000000001</v>
      </c>
      <c r="D20" s="19">
        <f t="shared" si="0"/>
        <v>92</v>
      </c>
    </row>
    <row r="21" spans="2:4" x14ac:dyDescent="0.25">
      <c r="B21" s="19">
        <f t="shared" si="1"/>
        <v>91</v>
      </c>
      <c r="C21" s="19">
        <v>1.5940000000000001</v>
      </c>
      <c r="D21" s="19">
        <f t="shared" si="0"/>
        <v>91</v>
      </c>
    </row>
    <row r="22" spans="2:4" x14ac:dyDescent="0.25">
      <c r="B22" s="19">
        <f t="shared" si="1"/>
        <v>90</v>
      </c>
      <c r="C22" s="19">
        <v>1.401</v>
      </c>
      <c r="D22" s="19">
        <f t="shared" si="0"/>
        <v>90</v>
      </c>
    </row>
    <row r="23" spans="2:4" x14ac:dyDescent="0.25">
      <c r="B23" s="19">
        <f t="shared" si="1"/>
        <v>89</v>
      </c>
      <c r="C23" s="19">
        <v>1.224</v>
      </c>
      <c r="D23" s="19">
        <f t="shared" si="0"/>
        <v>89</v>
      </c>
    </row>
    <row r="24" spans="2:4" x14ac:dyDescent="0.25">
      <c r="B24" s="19">
        <f t="shared" si="1"/>
        <v>88</v>
      </c>
      <c r="C24" s="19">
        <v>1.1140000000000001</v>
      </c>
      <c r="D24" s="19">
        <f t="shared" si="0"/>
        <v>88</v>
      </c>
    </row>
    <row r="25" spans="2:4" x14ac:dyDescent="0.25">
      <c r="B25" s="19">
        <f t="shared" si="1"/>
        <v>87</v>
      </c>
      <c r="C25" s="19">
        <v>1.004</v>
      </c>
      <c r="D25" s="19">
        <f t="shared" si="0"/>
        <v>87</v>
      </c>
    </row>
    <row r="26" spans="2:4" x14ac:dyDescent="0.25">
      <c r="B26" s="19">
        <f t="shared" si="1"/>
        <v>86</v>
      </c>
      <c r="C26" s="19">
        <v>0.90900000000000003</v>
      </c>
      <c r="D26" s="19">
        <f t="shared" si="0"/>
        <v>86</v>
      </c>
    </row>
    <row r="27" spans="2:4" x14ac:dyDescent="0.25">
      <c r="B27" s="19">
        <f t="shared" si="1"/>
        <v>85</v>
      </c>
      <c r="C27" s="19">
        <v>0.82799999999999996</v>
      </c>
      <c r="D27" s="19">
        <f t="shared" si="0"/>
        <v>85</v>
      </c>
    </row>
    <row r="28" spans="2:4" x14ac:dyDescent="0.25">
      <c r="B28" s="19">
        <f t="shared" si="1"/>
        <v>84</v>
      </c>
      <c r="C28" s="19">
        <v>0.75700000000000001</v>
      </c>
      <c r="D28" s="19">
        <f t="shared" si="0"/>
        <v>84</v>
      </c>
    </row>
    <row r="29" spans="2:4" x14ac:dyDescent="0.25">
      <c r="B29" s="19">
        <f t="shared" si="1"/>
        <v>83</v>
      </c>
      <c r="C29" s="19">
        <v>0.69499999999999995</v>
      </c>
      <c r="D29" s="19">
        <f t="shared" si="0"/>
        <v>83</v>
      </c>
    </row>
    <row r="30" spans="2:4" x14ac:dyDescent="0.25">
      <c r="B30" s="19">
        <f t="shared" si="1"/>
        <v>82</v>
      </c>
      <c r="C30" s="19">
        <v>0.64</v>
      </c>
      <c r="D30" s="19">
        <f t="shared" si="0"/>
        <v>82</v>
      </c>
    </row>
    <row r="31" spans="2:4" x14ac:dyDescent="0.25">
      <c r="B31" s="19">
        <f t="shared" si="1"/>
        <v>81</v>
      </c>
      <c r="C31" s="19">
        <v>0.59</v>
      </c>
      <c r="D31" s="19">
        <f t="shared" si="0"/>
        <v>81</v>
      </c>
    </row>
    <row r="32" spans="2:4" x14ac:dyDescent="0.25">
      <c r="B32" s="19">
        <f t="shared" si="1"/>
        <v>80</v>
      </c>
      <c r="C32" s="19">
        <v>0.54700000000000004</v>
      </c>
      <c r="D32" s="19">
        <f t="shared" si="0"/>
        <v>80</v>
      </c>
    </row>
    <row r="33" spans="2:4" x14ac:dyDescent="0.25">
      <c r="B33" s="19">
        <f t="shared" si="1"/>
        <v>79</v>
      </c>
      <c r="C33" s="19">
        <v>0.50700000000000001</v>
      </c>
      <c r="D33" s="19">
        <f t="shared" si="0"/>
        <v>79</v>
      </c>
    </row>
    <row r="34" spans="2:4" x14ac:dyDescent="0.25">
      <c r="B34" s="19">
        <f t="shared" si="1"/>
        <v>78</v>
      </c>
      <c r="C34" s="19">
        <v>0.47199999999999998</v>
      </c>
      <c r="D34" s="19">
        <f t="shared" si="0"/>
        <v>78</v>
      </c>
    </row>
    <row r="35" spans="2:4" x14ac:dyDescent="0.25">
      <c r="B35" s="19">
        <f t="shared" si="1"/>
        <v>77</v>
      </c>
      <c r="C35" s="19">
        <v>0.439</v>
      </c>
      <c r="D35" s="19">
        <f t="shared" si="0"/>
        <v>77</v>
      </c>
    </row>
    <row r="36" spans="2:4" x14ac:dyDescent="0.25">
      <c r="B36" s="19">
        <f t="shared" si="1"/>
        <v>76</v>
      </c>
      <c r="C36" s="19">
        <v>0.41</v>
      </c>
      <c r="D36" s="19">
        <f t="shared" si="0"/>
        <v>76</v>
      </c>
    </row>
    <row r="37" spans="2:4" x14ac:dyDescent="0.25">
      <c r="B37" s="19">
        <f t="shared" si="1"/>
        <v>75</v>
      </c>
      <c r="C37" s="19">
        <v>0.38300000000000001</v>
      </c>
      <c r="D37" s="19">
        <f t="shared" si="0"/>
        <v>75</v>
      </c>
    </row>
    <row r="38" spans="2:4" x14ac:dyDescent="0.25">
      <c r="B38" s="19">
        <f t="shared" si="1"/>
        <v>74</v>
      </c>
      <c r="C38" s="19">
        <v>0.35799999999999998</v>
      </c>
      <c r="D38" s="19">
        <f t="shared" si="0"/>
        <v>74</v>
      </c>
    </row>
    <row r="39" spans="2:4" x14ac:dyDescent="0.25">
      <c r="B39" s="19">
        <f t="shared" si="1"/>
        <v>73</v>
      </c>
      <c r="C39" s="19">
        <v>0.33500000000000002</v>
      </c>
      <c r="D39" s="19">
        <f t="shared" si="0"/>
        <v>73</v>
      </c>
    </row>
    <row r="40" spans="2:4" x14ac:dyDescent="0.25">
      <c r="B40" s="19">
        <f t="shared" si="1"/>
        <v>72</v>
      </c>
      <c r="C40" s="19">
        <v>0.314</v>
      </c>
      <c r="D40" s="19">
        <f t="shared" si="0"/>
        <v>72</v>
      </c>
    </row>
    <row r="41" spans="2:4" x14ac:dyDescent="0.25">
      <c r="B41" s="19">
        <f t="shared" si="1"/>
        <v>71</v>
      </c>
      <c r="C41" s="19">
        <v>0.29499999999999998</v>
      </c>
      <c r="D41" s="19">
        <f t="shared" si="0"/>
        <v>71</v>
      </c>
    </row>
    <row r="42" spans="2:4" x14ac:dyDescent="0.25">
      <c r="B42" s="19">
        <f t="shared" si="1"/>
        <v>70</v>
      </c>
      <c r="C42" s="19">
        <v>0.27700000000000002</v>
      </c>
      <c r="D42" s="19">
        <f t="shared" si="0"/>
        <v>70</v>
      </c>
    </row>
    <row r="43" spans="2:4" x14ac:dyDescent="0.25">
      <c r="B43" s="19">
        <f t="shared" si="1"/>
        <v>69</v>
      </c>
      <c r="C43" s="19">
        <v>0.26</v>
      </c>
      <c r="D43" s="19">
        <f t="shared" si="0"/>
        <v>69</v>
      </c>
    </row>
    <row r="44" spans="2:4" x14ac:dyDescent="0.25">
      <c r="B44" s="19">
        <f t="shared" si="1"/>
        <v>68</v>
      </c>
      <c r="C44" s="19">
        <v>0.245</v>
      </c>
      <c r="D44" s="19">
        <f t="shared" si="0"/>
        <v>68</v>
      </c>
    </row>
    <row r="45" spans="2:4" x14ac:dyDescent="0.25">
      <c r="B45" s="19">
        <f t="shared" si="1"/>
        <v>67</v>
      </c>
      <c r="C45" s="19">
        <v>0.23</v>
      </c>
      <c r="D45" s="19">
        <f t="shared" si="0"/>
        <v>67</v>
      </c>
    </row>
    <row r="46" spans="2:4" x14ac:dyDescent="0.25">
      <c r="B46" s="19">
        <f t="shared" si="1"/>
        <v>66</v>
      </c>
      <c r="C46" s="19">
        <v>0.217</v>
      </c>
      <c r="D46" s="19">
        <f t="shared" si="0"/>
        <v>66</v>
      </c>
    </row>
    <row r="47" spans="2:4" x14ac:dyDescent="0.25">
      <c r="B47" s="19">
        <f t="shared" si="1"/>
        <v>65</v>
      </c>
      <c r="C47" s="19">
        <v>0.20399999999999999</v>
      </c>
      <c r="D47" s="19">
        <f t="shared" ref="D47:D78" si="2">D46-1</f>
        <v>65</v>
      </c>
    </row>
    <row r="48" spans="2:4" x14ac:dyDescent="0.25">
      <c r="B48" s="19">
        <f t="shared" si="1"/>
        <v>64</v>
      </c>
      <c r="C48" s="19">
        <v>0.192</v>
      </c>
      <c r="D48" s="19">
        <f t="shared" si="2"/>
        <v>64</v>
      </c>
    </row>
    <row r="49" spans="2:4" x14ac:dyDescent="0.25">
      <c r="B49" s="19">
        <f t="shared" si="1"/>
        <v>63</v>
      </c>
      <c r="C49" s="19">
        <v>0.18099999999999999</v>
      </c>
      <c r="D49" s="19">
        <f t="shared" si="2"/>
        <v>63</v>
      </c>
    </row>
    <row r="50" spans="2:4" x14ac:dyDescent="0.25">
      <c r="B50" s="19">
        <f t="shared" si="1"/>
        <v>62</v>
      </c>
      <c r="C50" s="19">
        <v>0.17100000000000001</v>
      </c>
      <c r="D50" s="19">
        <f t="shared" si="2"/>
        <v>62</v>
      </c>
    </row>
    <row r="51" spans="2:4" x14ac:dyDescent="0.25">
      <c r="B51" s="19">
        <f t="shared" si="1"/>
        <v>61</v>
      </c>
      <c r="C51" s="19">
        <v>0.161</v>
      </c>
      <c r="D51" s="19">
        <f t="shared" si="2"/>
        <v>61</v>
      </c>
    </row>
    <row r="52" spans="2:4" x14ac:dyDescent="0.25">
      <c r="B52" s="19">
        <f t="shared" si="1"/>
        <v>60</v>
      </c>
      <c r="C52" s="19">
        <v>0.152</v>
      </c>
      <c r="D52" s="19">
        <f t="shared" si="2"/>
        <v>60</v>
      </c>
    </row>
    <row r="53" spans="2:4" x14ac:dyDescent="0.25">
      <c r="B53" s="19">
        <f t="shared" si="1"/>
        <v>59</v>
      </c>
      <c r="C53" s="19">
        <v>0.14399999999999999</v>
      </c>
      <c r="D53" s="19">
        <f t="shared" si="2"/>
        <v>59</v>
      </c>
    </row>
    <row r="54" spans="2:4" x14ac:dyDescent="0.25">
      <c r="B54" s="19">
        <f t="shared" si="1"/>
        <v>58</v>
      </c>
      <c r="C54" s="19">
        <v>0.13600000000000001</v>
      </c>
      <c r="D54" s="19">
        <f t="shared" si="2"/>
        <v>58</v>
      </c>
    </row>
    <row r="55" spans="2:4" x14ac:dyDescent="0.25">
      <c r="B55" s="19">
        <f t="shared" si="1"/>
        <v>57</v>
      </c>
      <c r="C55" s="19">
        <v>0.128</v>
      </c>
      <c r="D55" s="19">
        <f t="shared" si="2"/>
        <v>57</v>
      </c>
    </row>
    <row r="56" spans="2:4" x14ac:dyDescent="0.25">
      <c r="B56" s="19">
        <f t="shared" si="1"/>
        <v>56</v>
      </c>
      <c r="C56" s="19">
        <v>0.121</v>
      </c>
      <c r="D56" s="19">
        <f t="shared" si="2"/>
        <v>56</v>
      </c>
    </row>
    <row r="57" spans="2:4" x14ac:dyDescent="0.25">
      <c r="B57" s="19">
        <f t="shared" si="1"/>
        <v>55</v>
      </c>
      <c r="C57" s="19">
        <v>0.114</v>
      </c>
      <c r="D57" s="19">
        <f t="shared" si="2"/>
        <v>55</v>
      </c>
    </row>
    <row r="58" spans="2:4" x14ac:dyDescent="0.25">
      <c r="B58" s="19">
        <f t="shared" si="1"/>
        <v>54</v>
      </c>
      <c r="C58" s="19">
        <v>0.108</v>
      </c>
      <c r="D58" s="19">
        <f t="shared" si="2"/>
        <v>54</v>
      </c>
    </row>
    <row r="59" spans="2:4" x14ac:dyDescent="0.25">
      <c r="B59" s="19">
        <f t="shared" si="1"/>
        <v>53</v>
      </c>
      <c r="C59" s="19">
        <v>0.10199999999999999</v>
      </c>
      <c r="D59" s="19">
        <f t="shared" si="2"/>
        <v>53</v>
      </c>
    </row>
    <row r="60" spans="2:4" x14ac:dyDescent="0.25">
      <c r="B60" s="19">
        <f t="shared" si="1"/>
        <v>52</v>
      </c>
      <c r="C60" s="19">
        <v>9.6699999999999994E-2</v>
      </c>
      <c r="D60" s="19">
        <f t="shared" si="2"/>
        <v>52</v>
      </c>
    </row>
    <row r="61" spans="2:4" x14ac:dyDescent="0.25">
      <c r="B61" s="19">
        <f t="shared" si="1"/>
        <v>51</v>
      </c>
      <c r="C61" s="19">
        <v>9.1399999999999995E-2</v>
      </c>
      <c r="D61" s="19">
        <f t="shared" si="2"/>
        <v>51</v>
      </c>
    </row>
    <row r="62" spans="2:4" x14ac:dyDescent="0.25">
      <c r="B62" s="19">
        <f t="shared" si="1"/>
        <v>50</v>
      </c>
      <c r="C62" s="19">
        <v>8.6300000000000002E-2</v>
      </c>
      <c r="D62" s="19">
        <f t="shared" si="2"/>
        <v>50</v>
      </c>
    </row>
    <row r="63" spans="2:4" x14ac:dyDescent="0.25">
      <c r="B63" s="19">
        <f t="shared" si="1"/>
        <v>49</v>
      </c>
      <c r="C63" s="19">
        <v>8.1600000000000006E-2</v>
      </c>
      <c r="D63" s="19">
        <f t="shared" si="2"/>
        <v>49</v>
      </c>
    </row>
    <row r="64" spans="2:4" x14ac:dyDescent="0.25">
      <c r="B64" s="19">
        <f t="shared" si="1"/>
        <v>48</v>
      </c>
      <c r="C64" s="19">
        <v>7.7100000000000002E-2</v>
      </c>
      <c r="D64" s="19">
        <f t="shared" si="2"/>
        <v>48</v>
      </c>
    </row>
    <row r="65" spans="2:4" x14ac:dyDescent="0.25">
      <c r="B65" s="19">
        <f t="shared" si="1"/>
        <v>47</v>
      </c>
      <c r="C65" s="19">
        <v>7.2900000000000006E-2</v>
      </c>
      <c r="D65" s="19">
        <f t="shared" si="2"/>
        <v>47</v>
      </c>
    </row>
    <row r="66" spans="2:4" x14ac:dyDescent="0.25">
      <c r="B66" s="19">
        <f t="shared" si="1"/>
        <v>46</v>
      </c>
      <c r="C66" s="19">
        <v>6.88E-2</v>
      </c>
      <c r="D66" s="19">
        <f t="shared" si="2"/>
        <v>46</v>
      </c>
    </row>
    <row r="67" spans="2:4" x14ac:dyDescent="0.25">
      <c r="B67" s="19">
        <f t="shared" si="1"/>
        <v>45</v>
      </c>
      <c r="C67" s="19">
        <v>6.5100000000000005E-2</v>
      </c>
      <c r="D67" s="19">
        <f t="shared" si="2"/>
        <v>45</v>
      </c>
    </row>
    <row r="68" spans="2:4" x14ac:dyDescent="0.25">
      <c r="B68" s="19">
        <f t="shared" si="1"/>
        <v>44</v>
      </c>
      <c r="C68" s="19">
        <v>6.1499999999999999E-2</v>
      </c>
      <c r="D68" s="19">
        <f t="shared" si="2"/>
        <v>44</v>
      </c>
    </row>
    <row r="69" spans="2:4" x14ac:dyDescent="0.25">
      <c r="B69" s="19">
        <f t="shared" si="1"/>
        <v>43</v>
      </c>
      <c r="C69" s="19">
        <v>5.8099999999999999E-2</v>
      </c>
      <c r="D69" s="19">
        <f t="shared" si="2"/>
        <v>43</v>
      </c>
    </row>
    <row r="70" spans="2:4" x14ac:dyDescent="0.25">
      <c r="B70" s="19">
        <f t="shared" si="1"/>
        <v>42</v>
      </c>
      <c r="C70" s="19">
        <v>5.4800000000000001E-2</v>
      </c>
      <c r="D70" s="19">
        <f t="shared" si="2"/>
        <v>42</v>
      </c>
    </row>
    <row r="71" spans="2:4" x14ac:dyDescent="0.25">
      <c r="B71" s="19">
        <f t="shared" si="1"/>
        <v>41</v>
      </c>
      <c r="C71" s="19">
        <v>5.1799999999999999E-2</v>
      </c>
      <c r="D71" s="19">
        <f t="shared" si="2"/>
        <v>41</v>
      </c>
    </row>
    <row r="72" spans="2:4" x14ac:dyDescent="0.25">
      <c r="B72" s="19">
        <f t="shared" si="1"/>
        <v>40</v>
      </c>
      <c r="C72" s="19">
        <v>4.8899999999999999E-2</v>
      </c>
      <c r="D72" s="19">
        <f t="shared" si="2"/>
        <v>40</v>
      </c>
    </row>
    <row r="73" spans="2:4" x14ac:dyDescent="0.25">
      <c r="B73" s="19">
        <f t="shared" si="1"/>
        <v>39</v>
      </c>
      <c r="C73" s="19">
        <v>4.6199999999999998E-2</v>
      </c>
      <c r="D73" s="19">
        <f t="shared" si="2"/>
        <v>39</v>
      </c>
    </row>
    <row r="74" spans="2:4" x14ac:dyDescent="0.25">
      <c r="B74" s="19">
        <f t="shared" si="1"/>
        <v>38</v>
      </c>
      <c r="C74" s="19">
        <v>4.36E-2</v>
      </c>
      <c r="D74" s="19">
        <f t="shared" si="2"/>
        <v>38</v>
      </c>
    </row>
    <row r="75" spans="2:4" x14ac:dyDescent="0.25">
      <c r="B75" s="19">
        <f t="shared" si="1"/>
        <v>37</v>
      </c>
      <c r="C75" s="19">
        <v>4.1099999999999998E-2</v>
      </c>
      <c r="D75" s="19">
        <f t="shared" si="2"/>
        <v>37</v>
      </c>
    </row>
    <row r="76" spans="2:4" x14ac:dyDescent="0.25">
      <c r="B76" s="19">
        <f t="shared" si="1"/>
        <v>36</v>
      </c>
      <c r="C76" s="19">
        <v>3.8800000000000001E-2</v>
      </c>
      <c r="D76" s="19">
        <f t="shared" si="2"/>
        <v>36</v>
      </c>
    </row>
    <row r="77" spans="2:4" x14ac:dyDescent="0.25">
      <c r="B77" s="19">
        <f t="shared" si="1"/>
        <v>35</v>
      </c>
      <c r="C77" s="19">
        <v>3.6600000000000001E-2</v>
      </c>
      <c r="D77" s="19">
        <f t="shared" si="2"/>
        <v>35</v>
      </c>
    </row>
    <row r="78" spans="2:4" x14ac:dyDescent="0.25">
      <c r="B78" s="19">
        <f t="shared" si="1"/>
        <v>34</v>
      </c>
      <c r="C78" s="19">
        <v>3.4500000000000003E-2</v>
      </c>
      <c r="D78" s="19">
        <f t="shared" si="2"/>
        <v>34</v>
      </c>
    </row>
    <row r="79" spans="2:4" x14ac:dyDescent="0.25">
      <c r="B79" s="19">
        <f t="shared" si="1"/>
        <v>33</v>
      </c>
      <c r="C79" s="19">
        <v>3.2500000000000001E-2</v>
      </c>
      <c r="D79" s="19">
        <f t="shared" ref="D79:D92" si="3">D78-1</f>
        <v>33</v>
      </c>
    </row>
    <row r="80" spans="2:4" x14ac:dyDescent="0.25">
      <c r="B80" s="19">
        <f t="shared" ref="B80:B92" si="4">B79-1</f>
        <v>32</v>
      </c>
      <c r="C80" s="19">
        <v>3.0700000000000002E-2</v>
      </c>
      <c r="D80" s="19">
        <f t="shared" si="3"/>
        <v>32</v>
      </c>
    </row>
    <row r="81" spans="2:4" x14ac:dyDescent="0.25">
      <c r="B81" s="19">
        <f t="shared" si="4"/>
        <v>31</v>
      </c>
      <c r="C81" s="19">
        <v>2.8899999999999999E-2</v>
      </c>
      <c r="D81" s="19">
        <f t="shared" si="3"/>
        <v>31</v>
      </c>
    </row>
    <row r="82" spans="2:4" x14ac:dyDescent="0.25">
      <c r="B82" s="19">
        <f t="shared" si="4"/>
        <v>30</v>
      </c>
      <c r="C82" s="19">
        <v>2.7199999999999998E-2</v>
      </c>
      <c r="D82" s="19">
        <f t="shared" si="3"/>
        <v>30</v>
      </c>
    </row>
    <row r="83" spans="2:4" x14ac:dyDescent="0.25">
      <c r="B83" s="19">
        <f t="shared" si="4"/>
        <v>29</v>
      </c>
      <c r="C83" s="19">
        <v>2.5600000000000001E-2</v>
      </c>
      <c r="D83" s="19">
        <f t="shared" si="3"/>
        <v>29</v>
      </c>
    </row>
    <row r="84" spans="2:4" x14ac:dyDescent="0.25">
      <c r="B84" s="19">
        <f t="shared" si="4"/>
        <v>28</v>
      </c>
      <c r="C84" s="19">
        <v>2.41E-2</v>
      </c>
      <c r="D84" s="19">
        <f t="shared" si="3"/>
        <v>28</v>
      </c>
    </row>
    <row r="85" spans="2:4" x14ac:dyDescent="0.25">
      <c r="B85" s="19">
        <f t="shared" si="4"/>
        <v>27</v>
      </c>
      <c r="C85" s="19">
        <v>2.2700000000000001E-2</v>
      </c>
      <c r="D85" s="19">
        <f t="shared" si="3"/>
        <v>27</v>
      </c>
    </row>
    <row r="86" spans="2:4" x14ac:dyDescent="0.25">
      <c r="B86" s="19">
        <f t="shared" si="4"/>
        <v>26</v>
      </c>
      <c r="C86" s="19">
        <v>2.1399999999999999E-2</v>
      </c>
      <c r="D86" s="19">
        <f t="shared" si="3"/>
        <v>26</v>
      </c>
    </row>
    <row r="87" spans="2:4" x14ac:dyDescent="0.25">
      <c r="B87" s="19">
        <f t="shared" si="4"/>
        <v>25</v>
      </c>
      <c r="C87" s="19">
        <v>2.01E-2</v>
      </c>
      <c r="D87" s="19">
        <f t="shared" si="3"/>
        <v>25</v>
      </c>
    </row>
    <row r="88" spans="2:4" x14ac:dyDescent="0.25">
      <c r="B88" s="19">
        <f t="shared" si="4"/>
        <v>24</v>
      </c>
      <c r="C88" s="19">
        <v>1.89E-2</v>
      </c>
      <c r="D88" s="19">
        <f t="shared" si="3"/>
        <v>24</v>
      </c>
    </row>
    <row r="89" spans="2:4" x14ac:dyDescent="0.25">
      <c r="B89" s="19">
        <f t="shared" si="4"/>
        <v>23</v>
      </c>
      <c r="C89" s="19">
        <v>1.77E-2</v>
      </c>
      <c r="D89" s="19">
        <f t="shared" si="3"/>
        <v>23</v>
      </c>
    </row>
    <row r="90" spans="2:4" x14ac:dyDescent="0.25">
      <c r="B90" s="19">
        <f t="shared" si="4"/>
        <v>22</v>
      </c>
      <c r="C90" s="19">
        <v>1.67E-2</v>
      </c>
      <c r="D90" s="19">
        <f t="shared" si="3"/>
        <v>22</v>
      </c>
    </row>
    <row r="91" spans="2:4" x14ac:dyDescent="0.25">
      <c r="B91" s="19">
        <f t="shared" si="4"/>
        <v>21</v>
      </c>
      <c r="C91" s="19">
        <v>1.5699999999999999E-2</v>
      </c>
      <c r="D91" s="19">
        <f t="shared" si="3"/>
        <v>21</v>
      </c>
    </row>
    <row r="92" spans="2:4" x14ac:dyDescent="0.25">
      <c r="B92" s="19">
        <f t="shared" si="4"/>
        <v>20</v>
      </c>
      <c r="C92" s="19">
        <v>1.47E-2</v>
      </c>
      <c r="D92" s="19">
        <f t="shared" si="3"/>
        <v>20</v>
      </c>
    </row>
    <row r="93" spans="2:4" x14ac:dyDescent="0.25">
      <c r="B93" s="19">
        <v>19</v>
      </c>
      <c r="C93" s="19">
        <v>1.379E-2</v>
      </c>
    </row>
    <row r="94" spans="2:4" x14ac:dyDescent="0.25">
      <c r="B94" s="19">
        <v>18</v>
      </c>
      <c r="C94" s="41">
        <v>1.294E-2</v>
      </c>
    </row>
    <row r="95" spans="2:4" x14ac:dyDescent="0.25">
      <c r="B95" s="19">
        <v>17</v>
      </c>
      <c r="C95" s="19">
        <v>1.213E-2</v>
      </c>
    </row>
    <row r="96" spans="2:4" x14ac:dyDescent="0.25">
      <c r="B96" s="19">
        <v>16</v>
      </c>
      <c r="C96" s="19">
        <v>1.137E-2</v>
      </c>
    </row>
    <row r="97" spans="2:3" x14ac:dyDescent="0.25">
      <c r="B97" s="19">
        <v>15</v>
      </c>
      <c r="C97" s="19">
        <v>1.065E-2</v>
      </c>
    </row>
    <row r="98" spans="2:3" x14ac:dyDescent="0.25">
      <c r="B98" s="19">
        <v>14</v>
      </c>
      <c r="C98" s="19">
        <v>9.9699999999999997E-3</v>
      </c>
    </row>
    <row r="99" spans="2:3" x14ac:dyDescent="0.25">
      <c r="B99" s="19">
        <v>13</v>
      </c>
      <c r="C99" s="19">
        <v>9.3299999999999998E-3</v>
      </c>
    </row>
    <row r="100" spans="2:3" x14ac:dyDescent="0.25">
      <c r="B100" s="19">
        <v>12</v>
      </c>
      <c r="C100" s="19">
        <v>8.7299999999999999E-3</v>
      </c>
    </row>
    <row r="101" spans="2:3" x14ac:dyDescent="0.25">
      <c r="B101" s="19">
        <v>11</v>
      </c>
      <c r="C101" s="19">
        <v>8.1600000000000006E-3</v>
      </c>
    </row>
    <row r="102" spans="2:3" x14ac:dyDescent="0.25">
      <c r="B102" s="19">
        <v>10</v>
      </c>
      <c r="C102" s="19">
        <v>7.6299999999999996E-3</v>
      </c>
    </row>
    <row r="103" spans="2:3" x14ac:dyDescent="0.25">
      <c r="B103" s="19">
        <v>9</v>
      </c>
      <c r="C103" s="19">
        <v>7.1300000000000001E-3</v>
      </c>
    </row>
    <row r="104" spans="2:3" x14ac:dyDescent="0.25">
      <c r="B104" s="19">
        <v>8</v>
      </c>
      <c r="C104" s="19">
        <v>6.6600000000000001E-3</v>
      </c>
    </row>
    <row r="105" spans="2:3" x14ac:dyDescent="0.25">
      <c r="B105" s="19">
        <v>7</v>
      </c>
      <c r="C105" s="19">
        <v>6.2100000000000002E-3</v>
      </c>
    </row>
    <row r="106" spans="2:3" x14ac:dyDescent="0.25">
      <c r="B106" s="19">
        <v>6</v>
      </c>
      <c r="C106" s="19">
        <v>5.79E-3</v>
      </c>
    </row>
    <row r="107" spans="2:3" x14ac:dyDescent="0.25">
      <c r="B107" s="19">
        <v>5</v>
      </c>
      <c r="C107" s="19">
        <v>5.4000000000000003E-3</v>
      </c>
    </row>
    <row r="108" spans="2:3" x14ac:dyDescent="0.25">
      <c r="B108" s="19">
        <v>4</v>
      </c>
      <c r="C108" s="19">
        <v>5.0299999999999997E-3</v>
      </c>
    </row>
    <row r="109" spans="2:3" x14ac:dyDescent="0.25">
      <c r="B109" s="19">
        <v>3</v>
      </c>
      <c r="C109" s="19">
        <v>4.6899999999999997E-3</v>
      </c>
    </row>
    <row r="110" spans="2:3" x14ac:dyDescent="0.25">
      <c r="B110" s="19">
        <v>2</v>
      </c>
      <c r="C110" s="19">
        <v>4.3600000000000002E-3</v>
      </c>
    </row>
    <row r="111" spans="2:3" x14ac:dyDescent="0.25">
      <c r="B111" s="19">
        <v>1</v>
      </c>
      <c r="C111" s="19">
        <v>4.0600000000000002E-3</v>
      </c>
    </row>
    <row r="112" spans="2:3" x14ac:dyDescent="0.25">
      <c r="B112" s="19">
        <v>0</v>
      </c>
      <c r="C112" s="19">
        <v>3.7699999999999999E-3</v>
      </c>
    </row>
  </sheetData>
  <pageMargins left="0.7" right="0.7" top="0.75" bottom="0.75" header="0.3" footer="0.3"/>
  <pageSetup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AQ72"/>
  <sheetViews>
    <sheetView workbookViewId="0">
      <pane xSplit="2" ySplit="4" topLeftCell="K5" activePane="bottomRight" state="frozen"/>
      <selection pane="topRight" activeCell="C1" sqref="C1"/>
      <selection pane="bottomLeft" activeCell="A3" sqref="A3"/>
      <selection pane="bottomRight" activeCell="AB8" sqref="AB8"/>
    </sheetView>
  </sheetViews>
  <sheetFormatPr defaultRowHeight="15" x14ac:dyDescent="0.25"/>
  <cols>
    <col min="1" max="1" width="8.796875" style="19"/>
    <col min="2" max="5" width="13.69921875" style="19" customWidth="1"/>
    <col min="6" max="6" width="10.69921875" style="19" customWidth="1"/>
    <col min="7" max="7" width="13.69921875" style="19" customWidth="1"/>
    <col min="8" max="8" width="10.69921875" style="19" customWidth="1"/>
    <col min="9" max="9" width="13.69921875" style="19" customWidth="1"/>
    <col min="10" max="10" width="10.69921875" style="19" customWidth="1"/>
    <col min="11" max="11" width="13.69921875" style="19" customWidth="1"/>
    <col min="12" max="12" width="10.69921875" style="19" customWidth="1"/>
    <col min="13" max="13" width="13.69921875" style="19" customWidth="1"/>
    <col min="14" max="14" width="10.69921875" style="19" customWidth="1"/>
    <col min="15" max="15" width="13.69921875" style="19" customWidth="1"/>
    <col min="16" max="16" width="10.69921875" style="19" customWidth="1"/>
    <col min="17" max="17" width="13.69921875" style="19" customWidth="1"/>
    <col min="18" max="18" width="10.69921875" style="19" customWidth="1"/>
    <col min="19" max="19" width="10.796875" style="19" customWidth="1"/>
    <col min="20" max="20" width="10.59765625" style="19" customWidth="1"/>
    <col min="21" max="22" width="8.796875" style="19"/>
    <col min="23" max="23" width="13" style="19" bestFit="1" customWidth="1"/>
    <col min="24" max="24" width="21.09765625" style="19" bestFit="1" customWidth="1"/>
    <col min="25" max="25" width="8.796875" style="19"/>
    <col min="26" max="26" width="10.8984375" style="19" bestFit="1" customWidth="1"/>
    <col min="27" max="27" width="20.3984375" style="19" bestFit="1" customWidth="1"/>
    <col min="28" max="30" width="8.796875" style="19"/>
    <col min="31" max="31" width="30.3984375" style="19" customWidth="1"/>
    <col min="32" max="32" width="16.296875" style="19" bestFit="1" customWidth="1"/>
    <col min="33" max="16384" width="8.796875" style="19"/>
  </cols>
  <sheetData>
    <row r="1" spans="1:43" x14ac:dyDescent="0.25">
      <c r="C1" s="20"/>
      <c r="D1" s="51"/>
    </row>
    <row r="3" spans="1:43" ht="18" x14ac:dyDescent="0.35">
      <c r="B3" s="31"/>
      <c r="C3" s="213" t="s">
        <v>385</v>
      </c>
      <c r="D3" s="214"/>
      <c r="E3" s="215" t="s">
        <v>386</v>
      </c>
      <c r="F3" s="215"/>
      <c r="G3" s="215" t="s">
        <v>387</v>
      </c>
      <c r="H3" s="215"/>
      <c r="I3" s="215" t="s">
        <v>388</v>
      </c>
      <c r="J3" s="215"/>
      <c r="K3" s="215" t="s">
        <v>389</v>
      </c>
      <c r="L3" s="215"/>
      <c r="M3" s="215" t="s">
        <v>390</v>
      </c>
      <c r="N3" s="215"/>
      <c r="O3" s="215" t="s">
        <v>391</v>
      </c>
      <c r="P3" s="215"/>
      <c r="Q3" s="215" t="s">
        <v>392</v>
      </c>
      <c r="R3" s="215"/>
      <c r="S3" s="215" t="s">
        <v>393</v>
      </c>
      <c r="T3" s="215"/>
    </row>
    <row r="4" spans="1:43" ht="30" customHeight="1" x14ac:dyDescent="0.25">
      <c r="B4" s="33" t="s">
        <v>102</v>
      </c>
      <c r="C4" s="33" t="s">
        <v>366</v>
      </c>
      <c r="D4" s="33" t="s">
        <v>59</v>
      </c>
      <c r="E4" s="33" t="s">
        <v>366</v>
      </c>
      <c r="F4" s="33" t="s">
        <v>59</v>
      </c>
      <c r="G4" s="33" t="s">
        <v>366</v>
      </c>
      <c r="H4" s="33" t="s">
        <v>59</v>
      </c>
      <c r="I4" s="33" t="s">
        <v>366</v>
      </c>
      <c r="J4" s="33" t="s">
        <v>59</v>
      </c>
      <c r="K4" s="33" t="s">
        <v>366</v>
      </c>
      <c r="L4" s="33" t="s">
        <v>59</v>
      </c>
      <c r="M4" s="33" t="s">
        <v>366</v>
      </c>
      <c r="N4" s="33" t="s">
        <v>59</v>
      </c>
      <c r="O4" s="33" t="s">
        <v>366</v>
      </c>
      <c r="P4" s="33" t="s">
        <v>59</v>
      </c>
      <c r="Q4" s="33" t="s">
        <v>366</v>
      </c>
      <c r="R4" s="33" t="s">
        <v>59</v>
      </c>
      <c r="S4" s="33" t="s">
        <v>366</v>
      </c>
      <c r="T4" s="33" t="s">
        <v>59</v>
      </c>
    </row>
    <row r="5" spans="1:43" ht="15" customHeight="1" x14ac:dyDescent="0.35">
      <c r="B5" s="31">
        <v>80</v>
      </c>
      <c r="C5" s="32"/>
      <c r="D5" s="146" t="str">
        <f>IF(C5="","",C5/('saadav soojus'!$P$5))</f>
        <v/>
      </c>
      <c r="E5" s="32"/>
      <c r="F5" s="146" t="str">
        <f>IF(E5="","",E5/('saadav soojus'!$P$5))</f>
        <v/>
      </c>
      <c r="G5" s="32"/>
      <c r="H5" s="146" t="str">
        <f>IF(G5="","",G5/('saadav soojus'!$P$5))</f>
        <v/>
      </c>
      <c r="I5" s="32"/>
      <c r="J5" s="146" t="str">
        <f>IF(I5="","",I5/('saadav soojus'!$P$5))</f>
        <v/>
      </c>
      <c r="K5" s="32"/>
      <c r="L5" s="146" t="str">
        <f>IF(K5="","",K5/('saadav soojus'!$P$5))</f>
        <v/>
      </c>
      <c r="M5" s="32"/>
      <c r="N5" s="146" t="str">
        <f>IF(M5="","",M5/('saadav soojus'!$P$5))</f>
        <v/>
      </c>
      <c r="O5" s="32"/>
      <c r="P5" s="146" t="str">
        <f>IF(O5="","",O5/('saadav soojus'!$P$5))</f>
        <v/>
      </c>
      <c r="Q5" s="32"/>
      <c r="R5" s="146" t="str">
        <f>IF(Q5="","",Q5/('saadav soojus'!$P$5))</f>
        <v/>
      </c>
      <c r="S5" s="32"/>
      <c r="T5" s="146" t="str">
        <f>IF(S5="","",S5/('saadav soojus'!$P$5))</f>
        <v/>
      </c>
      <c r="W5" s="19" t="s">
        <v>394</v>
      </c>
      <c r="X5" s="30" t="s">
        <v>60</v>
      </c>
    </row>
    <row r="6" spans="1:43" ht="15" customHeight="1" x14ac:dyDescent="0.25">
      <c r="B6" s="31">
        <v>78</v>
      </c>
      <c r="C6" s="32"/>
      <c r="D6" s="146" t="str">
        <f>IF(C6="","",C6/('saadav soojus'!$P$5))</f>
        <v/>
      </c>
      <c r="E6" s="32"/>
      <c r="F6" s="146" t="str">
        <f>IF(E6="","",E6/('saadav soojus'!$P$5))</f>
        <v/>
      </c>
      <c r="G6" s="32"/>
      <c r="H6" s="146" t="str">
        <f>IF(G6="","",G6/('saadav soojus'!$P$5))</f>
        <v/>
      </c>
      <c r="I6" s="32"/>
      <c r="J6" s="146" t="str">
        <f>IF(I6="","",I6/('saadav soojus'!$P$5))</f>
        <v/>
      </c>
      <c r="K6" s="32"/>
      <c r="L6" s="146" t="str">
        <f>IF(K6="","",K6/('saadav soojus'!$P$5))</f>
        <v/>
      </c>
      <c r="M6" s="32"/>
      <c r="N6" s="146" t="str">
        <f>IF(M6="","",M6/('saadav soojus'!$P$5))</f>
        <v/>
      </c>
      <c r="O6" s="32"/>
      <c r="P6" s="146" t="str">
        <f>IF(O6="","",O6/('saadav soojus'!$P$5))</f>
        <v/>
      </c>
      <c r="Q6" s="32"/>
      <c r="R6" s="146" t="str">
        <f>IF(Q6="","",Q6/('saadav soojus'!$P$5))</f>
        <v/>
      </c>
      <c r="S6" s="32"/>
      <c r="T6" s="146" t="str">
        <f>IF(S6="","",S6/('saadav soojus'!$P$5))</f>
        <v/>
      </c>
      <c r="W6" s="34">
        <v>0.2</v>
      </c>
      <c r="X6" s="19">
        <v>62</v>
      </c>
      <c r="AI6" s="83"/>
      <c r="AJ6" s="137"/>
      <c r="AK6" s="83"/>
      <c r="AL6" s="83"/>
      <c r="AM6" s="83"/>
      <c r="AN6" s="83"/>
      <c r="AO6" s="83"/>
      <c r="AP6" s="83"/>
      <c r="AQ6" s="83"/>
    </row>
    <row r="7" spans="1:43" ht="15" customHeight="1" x14ac:dyDescent="0.25">
      <c r="B7" s="31">
        <v>76</v>
      </c>
      <c r="C7" s="32"/>
      <c r="D7" s="146" t="str">
        <f>IF(C7="","",C7/('saadav soojus'!$P$5))</f>
        <v/>
      </c>
      <c r="E7" s="32"/>
      <c r="F7" s="146" t="str">
        <f>IF(E7="","",E7/('saadav soojus'!$P$5))</f>
        <v/>
      </c>
      <c r="G7" s="32"/>
      <c r="H7" s="146" t="str">
        <f>IF(G7="","",G7/('saadav soojus'!$P$5))</f>
        <v/>
      </c>
      <c r="I7" s="32"/>
      <c r="J7" s="146" t="str">
        <f>IF(I7="","",I7/('saadav soojus'!$P$5))</f>
        <v/>
      </c>
      <c r="K7" s="32"/>
      <c r="L7" s="146" t="str">
        <f>IF(K7="","",K7/('saadav soojus'!$P$5))</f>
        <v/>
      </c>
      <c r="M7" s="32"/>
      <c r="N7" s="146" t="str">
        <f>IF(M7="","",M7/('saadav soojus'!$P$5))</f>
        <v/>
      </c>
      <c r="O7" s="32"/>
      <c r="P7" s="146" t="str">
        <f>IF(O7="","",O7/('saadav soojus'!$P$5))</f>
        <v/>
      </c>
      <c r="Q7" s="32"/>
      <c r="R7" s="146" t="str">
        <f>IF(Q7="","",Q7/('saadav soojus'!$P$5))</f>
        <v/>
      </c>
      <c r="S7" s="32"/>
      <c r="T7" s="146" t="str">
        <f>IF(S7="","",S7/('saadav soojus'!$P$5))</f>
        <v/>
      </c>
      <c r="W7" s="34">
        <v>0.25</v>
      </c>
      <c r="X7" s="19">
        <v>63</v>
      </c>
      <c r="AI7" s="83"/>
      <c r="AJ7" s="83"/>
      <c r="AK7" s="83"/>
      <c r="AL7" s="83"/>
      <c r="AM7" s="83"/>
      <c r="AN7" s="83"/>
      <c r="AO7" s="83"/>
      <c r="AP7" s="83"/>
      <c r="AQ7" s="83"/>
    </row>
    <row r="8" spans="1:43" ht="15" customHeight="1" x14ac:dyDescent="0.25">
      <c r="B8" s="31">
        <v>74</v>
      </c>
      <c r="C8" s="32"/>
      <c r="D8" s="146" t="str">
        <f>IF(C8="","",C8/('saadav soojus'!$P$5))</f>
        <v/>
      </c>
      <c r="E8" s="32"/>
      <c r="F8" s="146" t="str">
        <f>IF(E8="","",E8/('saadav soojus'!$P$5))</f>
        <v/>
      </c>
      <c r="G8" s="32"/>
      <c r="H8" s="146" t="str">
        <f>IF(G8="","",G8/('saadav soojus'!$P$5))</f>
        <v/>
      </c>
      <c r="I8" s="32"/>
      <c r="J8" s="146" t="str">
        <f>IF(I8="","",I8/('saadav soojus'!$P$5))</f>
        <v/>
      </c>
      <c r="K8" s="32"/>
      <c r="L8" s="146" t="str">
        <f>IF(K8="","",K8/('saadav soojus'!$P$5))</f>
        <v/>
      </c>
      <c r="M8" s="32"/>
      <c r="N8" s="146" t="str">
        <f>IF(M8="","",M8/('saadav soojus'!$P$5))</f>
        <v/>
      </c>
      <c r="O8" s="32"/>
      <c r="P8" s="146" t="str">
        <f>IF(O8="","",O8/('saadav soojus'!$P$5))</f>
        <v/>
      </c>
      <c r="Q8" s="32"/>
      <c r="R8" s="146" t="str">
        <f>IF(Q8="","",Q8/('saadav soojus'!$P$5))</f>
        <v/>
      </c>
      <c r="S8" s="32"/>
      <c r="T8" s="146" t="str">
        <f>IF(S8="","",S8/('saadav soojus'!$P$5))</f>
        <v/>
      </c>
      <c r="W8" s="34">
        <v>0.3</v>
      </c>
      <c r="X8" s="19">
        <v>64</v>
      </c>
      <c r="AI8" s="83"/>
      <c r="AJ8" s="83"/>
      <c r="AK8" s="138"/>
      <c r="AL8" s="83"/>
      <c r="AM8" s="138"/>
      <c r="AN8" s="83"/>
      <c r="AO8" s="83"/>
      <c r="AP8" s="83"/>
      <c r="AQ8" s="83"/>
    </row>
    <row r="9" spans="1:43" x14ac:dyDescent="0.25">
      <c r="B9" s="31">
        <v>72</v>
      </c>
      <c r="C9" s="32"/>
      <c r="D9" s="146" t="str">
        <f>IF(C9="","",C9/('saadav soojus'!$P$5))</f>
        <v/>
      </c>
      <c r="E9" s="32"/>
      <c r="F9" s="146" t="str">
        <f>IF(E9="","",E9/('saadav soojus'!$P$5))</f>
        <v/>
      </c>
      <c r="G9" s="32"/>
      <c r="H9" s="146" t="str">
        <f>IF(G9="","",G9/('saadav soojus'!$P$5))</f>
        <v/>
      </c>
      <c r="I9" s="32"/>
      <c r="J9" s="146" t="str">
        <f>IF(I9="","",I9/('saadav soojus'!$P$5))</f>
        <v/>
      </c>
      <c r="K9" s="32"/>
      <c r="L9" s="146" t="str">
        <f>IF(K9="","",K9/('saadav soojus'!$P$5))</f>
        <v/>
      </c>
      <c r="M9" s="32"/>
      <c r="N9" s="146" t="str">
        <f>IF(M9="","",M9/('saadav soojus'!$P$5))</f>
        <v/>
      </c>
      <c r="O9" s="32"/>
      <c r="P9" s="146" t="str">
        <f>IF(O9="","",O9/('saadav soojus'!$P$5))</f>
        <v/>
      </c>
      <c r="Q9" s="32"/>
      <c r="R9" s="146" t="str">
        <f>IF(Q9="","",Q9/('saadav soojus'!$P$5))</f>
        <v/>
      </c>
      <c r="S9" s="53">
        <v>2.0374024223362976</v>
      </c>
      <c r="T9" s="146">
        <f>IF(S9="","",S9/('saadav soojus'!$P$5))</f>
        <v>4.5890542656852905E-2</v>
      </c>
      <c r="W9" s="34">
        <v>0.35</v>
      </c>
      <c r="X9" s="85">
        <v>65</v>
      </c>
      <c r="AF9" s="21"/>
      <c r="AI9" s="83"/>
      <c r="AJ9" s="83"/>
      <c r="AK9" s="83"/>
      <c r="AL9" s="83"/>
      <c r="AM9" s="83"/>
      <c r="AN9" s="83"/>
      <c r="AO9" s="83"/>
      <c r="AP9" s="83"/>
      <c r="AQ9" s="83"/>
    </row>
    <row r="10" spans="1:43" x14ac:dyDescent="0.25">
      <c r="B10" s="31">
        <v>70</v>
      </c>
      <c r="C10" s="32"/>
      <c r="D10" s="146" t="str">
        <f>IF(C10="","",C10/('saadav soojus'!$P$5))</f>
        <v/>
      </c>
      <c r="E10" s="32"/>
      <c r="F10" s="146" t="str">
        <f>IF(E10="","",E10/('saadav soojus'!$P$5))</f>
        <v/>
      </c>
      <c r="G10" s="32"/>
      <c r="H10" s="146" t="str">
        <f>IF(G10="","",G10/('saadav soojus'!$P$5))</f>
        <v/>
      </c>
      <c r="I10" s="32"/>
      <c r="J10" s="146" t="str">
        <f>IF(I10="","",I10/('saadav soojus'!$P$5))</f>
        <v/>
      </c>
      <c r="K10" s="32"/>
      <c r="L10" s="146" t="str">
        <f>IF(K10="","",K10/('saadav soojus'!$P$5))</f>
        <v/>
      </c>
      <c r="M10" s="32"/>
      <c r="N10" s="146" t="str">
        <f>IF(M10="","",M10/('saadav soojus'!$P$5))</f>
        <v/>
      </c>
      <c r="O10" s="53">
        <v>0.14271863480778849</v>
      </c>
      <c r="P10" s="146">
        <f>IF(O10="","",O10/('saadav soojus'!$P$5))</f>
        <v>3.2146008696035439E-3</v>
      </c>
      <c r="Q10" s="53">
        <v>1.8526730368118043</v>
      </c>
      <c r="R10" s="146">
        <f>IF(Q10="","",Q10/('saadav soojus'!$P$5))</f>
        <v>4.1729689772097324E-2</v>
      </c>
      <c r="S10" s="53">
        <v>4.0681664575348861</v>
      </c>
      <c r="T10" s="146">
        <f>IF(S10="","",S10/('saadav soojus'!$P$5))</f>
        <v>9.1631561986956045E-2</v>
      </c>
      <c r="W10" s="34">
        <v>0.4</v>
      </c>
      <c r="X10" s="29">
        <v>67</v>
      </c>
      <c r="AF10" s="21"/>
      <c r="AG10" s="21"/>
      <c r="AI10" s="83"/>
      <c r="AJ10" s="83"/>
      <c r="AK10" s="139"/>
      <c r="AL10" s="83"/>
      <c r="AM10" s="83"/>
      <c r="AN10" s="83"/>
      <c r="AO10" s="83"/>
      <c r="AP10" s="83"/>
      <c r="AQ10" s="83"/>
    </row>
    <row r="11" spans="1:43" x14ac:dyDescent="0.25">
      <c r="B11" s="31">
        <v>68</v>
      </c>
      <c r="C11" s="32"/>
      <c r="D11" s="146" t="str">
        <f>IF(C11="","",C11/('saadav soojus'!$P$5))</f>
        <v/>
      </c>
      <c r="E11" s="32"/>
      <c r="F11" s="146" t="str">
        <f>IF(E11="","",E11/('saadav soojus'!$P$5))</f>
        <v/>
      </c>
      <c r="G11" s="32"/>
      <c r="H11" s="146" t="str">
        <f>IF(G11="","",G11/('saadav soojus'!$P$5))</f>
        <v/>
      </c>
      <c r="I11" s="32"/>
      <c r="J11" s="146" t="str">
        <f>IF(I11="","",I11/('saadav soojus'!$P$5))</f>
        <v/>
      </c>
      <c r="K11" s="32"/>
      <c r="L11" s="146" t="str">
        <f>IF(K11="","",K11/('saadav soojus'!$P$5))</f>
        <v/>
      </c>
      <c r="M11" s="53">
        <v>0.37045381368126801</v>
      </c>
      <c r="N11" s="146">
        <f>IF(M11="","",M11/('saadav soojus'!$P$5))</f>
        <v>8.344118153957884E-3</v>
      </c>
      <c r="O11" s="53">
        <v>1.7258337331098119</v>
      </c>
      <c r="P11" s="146">
        <f>IF(O11="","",O11/('saadav soojus'!$P$5))</f>
        <v>3.8872755661639585E-2</v>
      </c>
      <c r="Q11" s="53">
        <v>3.4878767600233878</v>
      </c>
      <c r="R11" s="146">
        <f>IF(Q11="","",Q11/('saadav soojus'!$P$5))</f>
        <v>7.8561091065238398E-2</v>
      </c>
      <c r="S11" s="53">
        <v>5.7738156731213861</v>
      </c>
      <c r="T11" s="146">
        <f>IF(S11="","",S11/('saadav soojus'!$P$5))</f>
        <v>0.13004968067935643</v>
      </c>
      <c r="W11" s="34">
        <v>0.45</v>
      </c>
      <c r="X11" s="19">
        <v>68</v>
      </c>
      <c r="AF11" s="21"/>
      <c r="AI11" s="83"/>
      <c r="AJ11" s="83"/>
      <c r="AK11" s="83"/>
      <c r="AL11" s="83"/>
      <c r="AM11" s="83"/>
      <c r="AN11" s="83"/>
      <c r="AO11" s="83"/>
      <c r="AP11" s="83"/>
      <c r="AQ11" s="83"/>
    </row>
    <row r="12" spans="1:43" x14ac:dyDescent="0.25">
      <c r="B12" s="31">
        <v>66</v>
      </c>
      <c r="C12" s="32"/>
      <c r="D12" s="146" t="str">
        <f>IF(C12="","",C12/('saadav soojus'!$P$5))</f>
        <v/>
      </c>
      <c r="E12" s="32"/>
      <c r="F12" s="146" t="str">
        <f>IF(E12="","",E12/('saadav soojus'!$P$5))</f>
        <v/>
      </c>
      <c r="G12" s="32"/>
      <c r="H12" s="146" t="str">
        <f>IF(G12="","",G12/('saadav soojus'!$P$5))</f>
        <v/>
      </c>
      <c r="I12" s="32"/>
      <c r="J12" s="146" t="str">
        <f>IF(I12="","",I12/('saadav soojus'!$P$5))</f>
        <v/>
      </c>
      <c r="K12" s="53">
        <v>0.71451208887155915</v>
      </c>
      <c r="L12" s="146">
        <f>IF(K12="","",K12/('saadav soojus'!$P$5))</f>
        <v>1.6093702026523399E-2</v>
      </c>
      <c r="M12" s="53">
        <v>1.7725576444673443</v>
      </c>
      <c r="N12" s="146">
        <f>IF(M12="","",M12/('saadav soojus'!$P$5))</f>
        <v>3.992516711641203E-2</v>
      </c>
      <c r="O12" s="53">
        <v>3.1587696126153695</v>
      </c>
      <c r="P12" s="146">
        <f>IF(O12="","",O12/('saadav soojus'!$P$5))</f>
        <v>7.114826705893125E-2</v>
      </c>
      <c r="Q12" s="53">
        <v>4.9608954205063549</v>
      </c>
      <c r="R12" s="146">
        <f>IF(Q12="","",Q12/('saadav soojus'!$P$5))</f>
        <v>0.11173942880163877</v>
      </c>
      <c r="S12" s="53">
        <v>7.3402182480298794</v>
      </c>
      <c r="T12" s="146">
        <f>IF(S12="","",S12/('saadav soojus'!$P$5))</f>
        <v>0.16533140185214951</v>
      </c>
      <c r="W12" s="34">
        <v>0.5</v>
      </c>
      <c r="X12" s="19">
        <v>70</v>
      </c>
      <c r="AF12" s="21"/>
      <c r="AG12" s="21"/>
      <c r="AI12" s="83"/>
      <c r="AJ12" s="83"/>
      <c r="AK12" s="83"/>
      <c r="AL12" s="83"/>
      <c r="AM12" s="83"/>
      <c r="AN12" s="83"/>
      <c r="AO12" s="83"/>
      <c r="AP12" s="83"/>
      <c r="AQ12" s="83"/>
    </row>
    <row r="13" spans="1:43" x14ac:dyDescent="0.25">
      <c r="A13" s="20"/>
      <c r="B13" s="31">
        <v>64</v>
      </c>
      <c r="C13" s="32"/>
      <c r="D13" s="146" t="str">
        <f>IF(C13="","",C13/('saadav soojus'!$P$5))</f>
        <v/>
      </c>
      <c r="E13" s="32"/>
      <c r="F13" s="146" t="str">
        <f>IF(E13="","",E13/('saadav soojus'!$P$5))</f>
        <v/>
      </c>
      <c r="G13" s="53">
        <v>0.22500726892257625</v>
      </c>
      <c r="H13" s="146">
        <f>IF(G13="","",G13/('saadav soojus'!$P$5))</f>
        <v>5.068073719453484E-3</v>
      </c>
      <c r="I13" s="53">
        <v>0.98185558772178405</v>
      </c>
      <c r="J13" s="146">
        <f>IF(I13="","",I13/('saadav soojus'!$P$5))</f>
        <v>2.2115358869333163E-2</v>
      </c>
      <c r="K13" s="53">
        <v>1.9067796324879345</v>
      </c>
      <c r="L13" s="146">
        <f>IF(K13="","",K13/('saadav soojus'!$P$5))</f>
        <v>4.2948389136381632E-2</v>
      </c>
      <c r="M13" s="53">
        <v>2.9851659549164671</v>
      </c>
      <c r="N13" s="146">
        <f>IF(M13="","",M13/('saadav soojus'!$P$5))</f>
        <v>6.7238010561895351E-2</v>
      </c>
      <c r="O13" s="53">
        <v>4.4114922722454724</v>
      </c>
      <c r="P13" s="146">
        <f>IF(O13="","",O13/('saadav soojus'!$P$5))</f>
        <v>9.9364647887142693E-2</v>
      </c>
      <c r="Q13" s="53">
        <v>6.2491311774905718</v>
      </c>
      <c r="R13" s="146">
        <f>IF(Q13="","",Q13/('saadav soojus'!$P$5))</f>
        <v>0.14075570821205427</v>
      </c>
      <c r="S13" s="53">
        <v>8.6765313942050266</v>
      </c>
      <c r="T13" s="146">
        <f>IF(S13="","",S13/('saadav soojus'!$P$5))</f>
        <v>0.19543057851217491</v>
      </c>
      <c r="W13" s="34">
        <v>0.55000000000000004</v>
      </c>
      <c r="X13" s="19">
        <v>71</v>
      </c>
      <c r="AF13" s="21"/>
      <c r="AI13" s="83"/>
      <c r="AJ13" s="83"/>
      <c r="AK13" s="83"/>
      <c r="AL13" s="83"/>
      <c r="AM13" s="83"/>
      <c r="AN13" s="83"/>
      <c r="AO13" s="83"/>
      <c r="AP13" s="83"/>
      <c r="AQ13" s="83"/>
    </row>
    <row r="14" spans="1:43" x14ac:dyDescent="0.25">
      <c r="A14" s="20"/>
      <c r="B14" s="31">
        <v>62</v>
      </c>
      <c r="C14" s="53">
        <v>3.6200662207640559E-2</v>
      </c>
      <c r="D14" s="146">
        <f>IF(C14="","",C14/('saadav soojus'!$P$5))</f>
        <v>8.1538532350475419E-4</v>
      </c>
      <c r="E14" s="53">
        <v>0.60293935869624515</v>
      </c>
      <c r="F14" s="146">
        <f>IF(E14="","",E14/('saadav soojus'!$P$5))</f>
        <v>1.3580632896282302E-2</v>
      </c>
      <c r="G14" s="53">
        <v>1.2247362013911443</v>
      </c>
      <c r="H14" s="146">
        <f>IF(G14="","",G14/('saadav soojus'!$P$5))</f>
        <v>2.7586012599750988E-2</v>
      </c>
      <c r="I14" s="53">
        <v>1.9979269223106058</v>
      </c>
      <c r="J14" s="146">
        <f>IF(I14="","",I14/('saadav soojus'!$P$5))</f>
        <v>4.5001394740874529E-2</v>
      </c>
      <c r="K14" s="53">
        <v>2.9425382208254214</v>
      </c>
      <c r="L14" s="146">
        <f>IF(K14="","",K14/('saadav soojus'!$P$5))</f>
        <v>6.6277861585814862E-2</v>
      </c>
      <c r="M14" s="54">
        <v>4.0451962738441836</v>
      </c>
      <c r="N14" s="146">
        <f>IF(M14="","",M14/('saadav soojus'!$P$5))</f>
        <v>9.111418054923047E-2</v>
      </c>
      <c r="O14" s="54">
        <v>5.502080572869585</v>
      </c>
      <c r="P14" s="146">
        <f>IF(O14="","",O14/('saadav soojus'!$P$5))</f>
        <v>0.123929107211514</v>
      </c>
      <c r="Q14" s="53">
        <v>7.3794990583307349</v>
      </c>
      <c r="R14" s="146">
        <f>IF(Q14="","",Q14/('saadav soojus'!$P$5))</f>
        <v>0.16621616456811805</v>
      </c>
      <c r="S14" s="53">
        <v>9.8411473318393643</v>
      </c>
      <c r="T14" s="146">
        <f>IF(S14="","",S14/('saadav soojus'!$P$5))</f>
        <v>0.22166243962068086</v>
      </c>
      <c r="W14" s="55">
        <v>0.6</v>
      </c>
      <c r="X14" s="19">
        <v>73</v>
      </c>
      <c r="AF14" s="21"/>
      <c r="AG14" s="21"/>
      <c r="AI14" s="83"/>
      <c r="AJ14" s="83"/>
      <c r="AK14" s="83"/>
      <c r="AL14" s="83"/>
      <c r="AM14" s="83"/>
      <c r="AN14" s="83"/>
      <c r="AO14" s="83"/>
      <c r="AP14" s="83"/>
      <c r="AQ14" s="83"/>
    </row>
    <row r="15" spans="1:43" x14ac:dyDescent="0.25">
      <c r="A15" s="20"/>
      <c r="B15" s="31">
        <v>60</v>
      </c>
      <c r="C15" s="53">
        <v>0.92395949728893267</v>
      </c>
      <c r="D15" s="146">
        <f>IF(C15="","",C15/('saadav soojus'!$P$5))</f>
        <v>2.0811304756828908E-2</v>
      </c>
      <c r="E15" s="53">
        <v>1.4959830155646778</v>
      </c>
      <c r="F15" s="146">
        <f>IF(E15="","",E15/('saadav soojus'!$P$5))</f>
        <v>3.3695587890278135E-2</v>
      </c>
      <c r="G15" s="53">
        <v>2.1334467438449365</v>
      </c>
      <c r="H15" s="146">
        <f>IF(G15="","",G15/('saadav soojus'!$P$5))</f>
        <v>4.8053849220554029E-2</v>
      </c>
      <c r="I15" s="53">
        <v>2.925242113228598</v>
      </c>
      <c r="J15" s="146">
        <f>IF(I15="","",I15/('saadav soojus'!$P$5))</f>
        <v>6.588828329005561E-2</v>
      </c>
      <c r="K15" s="53">
        <v>3.8808708651007691</v>
      </c>
      <c r="L15" s="146">
        <f>IF(K15="","",K15/('saadav soojus'!$P$5))</f>
        <v>8.7412907743783824E-2</v>
      </c>
      <c r="M15" s="54">
        <v>5.0098455985483668</v>
      </c>
      <c r="N15" s="146">
        <f>IF(M15="","",M15/('saadav soojus'!$P$5))</f>
        <v>0.11284198478609746</v>
      </c>
      <c r="O15" s="54">
        <v>6.4854919524542582</v>
      </c>
      <c r="P15" s="146">
        <f>IF(O15="","",O15/('saadav soojus'!$P$5))</f>
        <v>0.14607950880587112</v>
      </c>
      <c r="Q15" s="53">
        <v>8.3873548856759772</v>
      </c>
      <c r="R15" s="146">
        <f>IF(Q15="","",Q15/('saadav soojus'!$P$5))</f>
        <v>0.18891715398959344</v>
      </c>
      <c r="S15" s="53">
        <v>10.901524721540918</v>
      </c>
      <c r="T15" s="146">
        <f>IF(S15="","",S15/('saadav soojus'!$P$5))</f>
        <v>0.24554642704554186</v>
      </c>
      <c r="W15" s="51"/>
      <c r="AF15" s="51"/>
      <c r="AG15" s="21"/>
      <c r="AI15" s="83"/>
      <c r="AJ15" s="83"/>
      <c r="AK15" s="83"/>
      <c r="AL15" s="83"/>
      <c r="AM15" s="83"/>
      <c r="AN15" s="83"/>
      <c r="AO15" s="83"/>
      <c r="AP15" s="83"/>
      <c r="AQ15" s="83"/>
    </row>
    <row r="16" spans="1:43" x14ac:dyDescent="0.25">
      <c r="A16" s="20"/>
      <c r="B16" s="31">
        <v>58</v>
      </c>
      <c r="C16" s="53">
        <v>1.6512710989813477</v>
      </c>
      <c r="D16" s="146">
        <f>IF(C16="","",C16/('saadav soojus'!$P$5))</f>
        <v>3.7193303578650548E-2</v>
      </c>
      <c r="E16" s="53">
        <v>2.2267596766234692</v>
      </c>
      <c r="F16" s="146">
        <f>IF(E16="","",E16/('saadav soojus'!$P$5))</f>
        <v>5.0155633863177014E-2</v>
      </c>
      <c r="G16" s="53">
        <v>2.8777420381129941</v>
      </c>
      <c r="H16" s="146">
        <f>IF(G16="","",G16/('saadav soojus'!$P$5))</f>
        <v>6.4818389488321179E-2</v>
      </c>
      <c r="I16" s="53">
        <v>3.6752445559741909</v>
      </c>
      <c r="J16" s="146">
        <f>IF(I16="","",I16/('saadav soojus'!$P$5))</f>
        <v>8.2781371623627545E-2</v>
      </c>
      <c r="K16" s="53">
        <v>4.6491781724156489</v>
      </c>
      <c r="L16" s="146">
        <f>IF(K16="","",K16/('saadav soojus'!$P$5))</f>
        <v>0.10471829565996915</v>
      </c>
      <c r="M16" s="54">
        <v>5.787948085419492</v>
      </c>
      <c r="N16" s="146">
        <f>IF(M16="","",M16/('saadav soojus'!$P$5))</f>
        <v>0.13036799976168423</v>
      </c>
      <c r="O16" s="54">
        <v>7.290340595927602</v>
      </c>
      <c r="P16" s="146">
        <f>IF(O16="","",O16/('saadav soojus'!$P$5))</f>
        <v>0.16420795540076141</v>
      </c>
      <c r="Q16" s="53">
        <v>9.2269502984591192</v>
      </c>
      <c r="R16" s="146">
        <f>IF(Q16="","",Q16/('saadav soojus'!$P$5))</f>
        <v>0.20782823835977932</v>
      </c>
      <c r="S16" s="53">
        <v>11.768683776640204</v>
      </c>
      <c r="T16" s="146">
        <f>IF(S16="","",S16/('saadav soojus'!$P$5))</f>
        <v>0.26507835611956232</v>
      </c>
      <c r="W16" s="51"/>
      <c r="AF16" s="21"/>
      <c r="AI16" s="83"/>
      <c r="AJ16" s="83"/>
      <c r="AK16" s="83"/>
      <c r="AL16" s="83"/>
      <c r="AM16" s="83"/>
      <c r="AN16" s="83"/>
      <c r="AO16" s="83"/>
      <c r="AP16" s="83"/>
      <c r="AQ16" s="83"/>
    </row>
    <row r="17" spans="1:43" x14ac:dyDescent="0.25">
      <c r="A17" s="20"/>
      <c r="B17" s="31">
        <v>56</v>
      </c>
      <c r="C17" s="53">
        <v>2.3555306861666976</v>
      </c>
      <c r="D17" s="146">
        <f>IF(C17="","",C17/('saadav soojus'!$P$5))</f>
        <v>5.3056077801804137E-2</v>
      </c>
      <c r="E17" s="53">
        <v>2.9483432596897945</v>
      </c>
      <c r="F17" s="146">
        <f>IF(E17="","",E17/('saadav soojus'!$P$5))</f>
        <v>6.6408614539040831E-2</v>
      </c>
      <c r="G17" s="53">
        <v>3.6007309438373047</v>
      </c>
      <c r="H17" s="146">
        <f>IF(G17="","",G17/('saadav soojus'!$P$5))</f>
        <v>8.1103023714154246E-2</v>
      </c>
      <c r="I17" s="53">
        <v>4.4102487221255782</v>
      </c>
      <c r="J17" s="146">
        <f>IF(I17="","",I17/('saadav soojus'!$P$5))</f>
        <v>9.9336638109006906E-2</v>
      </c>
      <c r="K17" s="53">
        <v>5.398647105325602</v>
      </c>
      <c r="L17" s="146">
        <f>IF(K17="","",K17/('saadav soojus'!$P$5))</f>
        <v>0.12159936719430602</v>
      </c>
      <c r="M17" s="53">
        <v>6.5552609606084653</v>
      </c>
      <c r="N17" s="146">
        <f>IF(M17="","",M17/('saadav soojus'!$P$5))</f>
        <v>0.14765098904449553</v>
      </c>
      <c r="O17" s="53">
        <v>8.0657573996145722</v>
      </c>
      <c r="P17" s="146">
        <f>IF(O17="","",O17/('saadav soojus'!$P$5))</f>
        <v>0.18167347792901717</v>
      </c>
      <c r="Q17" s="53">
        <v>10.029457524853752</v>
      </c>
      <c r="R17" s="146">
        <f>IF(Q17="","",Q17/('saadav soojus'!$P$5))</f>
        <v>0.22590394677238904</v>
      </c>
      <c r="S17" s="53">
        <v>12.62725855470562</v>
      </c>
      <c r="T17" s="146">
        <f>IF(S17="","",S17/('saadav soojus'!$P$5))</f>
        <v>0.28441693255638045</v>
      </c>
      <c r="W17" s="51"/>
      <c r="AF17" s="57"/>
      <c r="AI17" s="83"/>
      <c r="AJ17" s="83"/>
      <c r="AK17" s="83"/>
      <c r="AL17" s="83"/>
      <c r="AM17" s="83"/>
      <c r="AN17" s="83"/>
      <c r="AO17" s="83"/>
      <c r="AP17" s="83"/>
      <c r="AQ17" s="83"/>
    </row>
    <row r="18" spans="1:43" x14ac:dyDescent="0.25">
      <c r="B18" s="31">
        <v>54</v>
      </c>
      <c r="C18" s="53">
        <v>2.9556551042314494</v>
      </c>
      <c r="D18" s="146">
        <f>IF(C18="","",C18/('saadav soojus'!$P$5))</f>
        <v>6.6573306850270297E-2</v>
      </c>
      <c r="E18" s="53">
        <v>3.5504818644714451</v>
      </c>
      <c r="F18" s="146">
        <f>IF(E18="","",E18/('saadav soojus'!$P$5))</f>
        <v>7.9971211218583374E-2</v>
      </c>
      <c r="G18" s="53">
        <v>4.214658231807018</v>
      </c>
      <c r="H18" s="146">
        <f>IF(G18="","",G18/('saadav soojus'!$P$5))</f>
        <v>9.4931149217447566E-2</v>
      </c>
      <c r="I18" s="53">
        <v>5.0278494097365769</v>
      </c>
      <c r="J18" s="146">
        <f>IF(I18="","",I18/('saadav soojus'!$P$5))</f>
        <v>0.11324750342898346</v>
      </c>
      <c r="K18" s="53">
        <v>6.0206951647733007</v>
      </c>
      <c r="L18" s="146">
        <f>IF(K18="","",K18/('saadav soojus'!$P$5))</f>
        <v>0.13561040531507315</v>
      </c>
      <c r="M18" s="54">
        <v>7.1954762388346545</v>
      </c>
      <c r="N18" s="146">
        <f>IF(M18="","",M18/('saadav soojus'!$P$5))</f>
        <v>0.16207122640797028</v>
      </c>
      <c r="O18" s="54">
        <v>8.7288796690338284</v>
      </c>
      <c r="P18" s="146">
        <f>IF(O18="","",O18/('saadav soojus'!$P$5))</f>
        <v>0.19660967337959392</v>
      </c>
      <c r="Q18" s="53">
        <v>10.722359713187798</v>
      </c>
      <c r="R18" s="146">
        <f>IF(Q18="","",Q18/('saadav soojus'!$P$5))</f>
        <v>0.24151090643934953</v>
      </c>
      <c r="S18" s="53">
        <v>13.341038271636663</v>
      </c>
      <c r="T18" s="146">
        <f>IF(S18="","",S18/('saadav soojus'!$P$5))</f>
        <v>0.30049413860478563</v>
      </c>
      <c r="W18" s="51"/>
      <c r="AF18" s="34"/>
      <c r="AI18" s="83"/>
      <c r="AJ18" s="83"/>
      <c r="AK18" s="83"/>
      <c r="AL18" s="83"/>
      <c r="AM18" s="83"/>
      <c r="AN18" s="83"/>
      <c r="AO18" s="83"/>
      <c r="AP18" s="83"/>
      <c r="AQ18" s="83"/>
    </row>
    <row r="19" spans="1:43" x14ac:dyDescent="0.25">
      <c r="B19" s="31">
        <v>52</v>
      </c>
      <c r="C19" s="53">
        <v>3.4939366618745424</v>
      </c>
      <c r="D19" s="146">
        <f>IF(C19="","",C19/('saadav soojus'!$P$5))</f>
        <v>7.8697584563698977E-2</v>
      </c>
      <c r="E19" s="53">
        <v>4.0933091153110883</v>
      </c>
      <c r="F19" s="146">
        <f>IF(E19="","",E19/('saadav soojus'!$P$5))</f>
        <v>9.2197876327479097E-2</v>
      </c>
      <c r="G19" s="53">
        <v>4.762810491336479</v>
      </c>
      <c r="H19" s="146">
        <f>IF(G19="","",G19/('saadav soojus'!$P$5))</f>
        <v>0.10727775505859587</v>
      </c>
      <c r="I19" s="53">
        <v>5.592651021047037</v>
      </c>
      <c r="J19" s="146">
        <f>IF(I19="","",I19/('saadav soojus'!$P$5))</f>
        <v>0.12596912000916816</v>
      </c>
      <c r="K19" s="53">
        <v>6.5941970016424145</v>
      </c>
      <c r="L19" s="146">
        <f>IF(K19="","",K19/('saadav soojus'!$P$5))</f>
        <v>0.14852798616218252</v>
      </c>
      <c r="M19" s="54">
        <v>7.7796862322308868</v>
      </c>
      <c r="N19" s="146">
        <f>IF(M19="","",M19/('saadav soojus'!$P$5))</f>
        <v>0.17522999824832511</v>
      </c>
      <c r="O19" s="54">
        <v>9.3265915445976901</v>
      </c>
      <c r="P19" s="146">
        <f>IF(O19="","",O19/('saadav soojus'!$P$5))</f>
        <v>0.21007256221361112</v>
      </c>
      <c r="Q19" s="53">
        <v>11.337624525004179</v>
      </c>
      <c r="R19" s="146">
        <f>IF(Q19="","",Q19/('saadav soojus'!$P$5))</f>
        <v>0.25536915838917457</v>
      </c>
      <c r="S19" s="53">
        <v>13.980052054363959</v>
      </c>
      <c r="T19" s="146">
        <f>IF(S19="","",S19/('saadav soojus'!$P$5))</f>
        <v>0.31488731343027604</v>
      </c>
      <c r="W19" s="51"/>
      <c r="AF19" s="34"/>
      <c r="AI19" s="83"/>
      <c r="AJ19" s="83"/>
      <c r="AK19" s="83"/>
      <c r="AL19" s="83"/>
      <c r="AM19" s="83"/>
      <c r="AN19" s="83"/>
      <c r="AO19" s="83"/>
      <c r="AP19" s="83"/>
      <c r="AQ19" s="83"/>
    </row>
    <row r="20" spans="1:43" x14ac:dyDescent="0.25">
      <c r="B20" s="31">
        <v>50</v>
      </c>
      <c r="C20" s="53">
        <v>3.9890292023359315</v>
      </c>
      <c r="D20" s="146">
        <f>IF(C20="","",C20/('saadav soojus'!$P$5))</f>
        <v>8.9849070935782441E-2</v>
      </c>
      <c r="E20" s="53">
        <v>4.598400066582605</v>
      </c>
      <c r="F20" s="146">
        <f>IF(E20="","",E20/('saadav soojus'!$P$5))</f>
        <v>0.10357456734875345</v>
      </c>
      <c r="G20" s="53">
        <v>5.2702338221344487</v>
      </c>
      <c r="H20" s="146">
        <f>IF(G20="","",G20/('saadav soojus'!$P$5))</f>
        <v>0.1187069806999223</v>
      </c>
      <c r="I20" s="53">
        <v>6.1131037051437014</v>
      </c>
      <c r="J20" s="146">
        <f>IF(I20="","",I20/('saadav soojus'!$P$5))</f>
        <v>0.1376918193829246</v>
      </c>
      <c r="K20" s="53">
        <v>7.1190539439545395</v>
      </c>
      <c r="L20" s="146">
        <f>IF(K20="","",K20/('saadav soojus'!$P$5))</f>
        <v>0.16034988724360974</v>
      </c>
      <c r="M20" s="54">
        <v>8.3225913386666477</v>
      </c>
      <c r="N20" s="146">
        <f>IF(M20="","",M20/('saadav soojus'!$P$5))</f>
        <v>0.18745841698012591</v>
      </c>
      <c r="O20" s="54">
        <v>9.8779788514216342</v>
      </c>
      <c r="P20" s="146">
        <f>IF(O20="","",O20/('saadav soojus'!$P$5))</f>
        <v>0.22249203440371282</v>
      </c>
      <c r="Q20" s="53">
        <v>11.916455134954433</v>
      </c>
      <c r="R20" s="146">
        <f>IF(Q20="","",Q20/('saadav soojus'!$P$5))</f>
        <v>0.26840676475785386</v>
      </c>
      <c r="S20" s="53">
        <v>14.576699704052087</v>
      </c>
      <c r="T20" s="146">
        <f>IF(S20="","",S20/('saadav soojus'!$P$5))</f>
        <v>0.32832623159339802</v>
      </c>
      <c r="W20" s="51"/>
      <c r="AF20" s="34"/>
      <c r="AI20" s="83"/>
      <c r="AJ20" s="83"/>
      <c r="AK20" s="83"/>
      <c r="AL20" s="83"/>
      <c r="AM20" s="83"/>
      <c r="AN20" s="83"/>
      <c r="AO20" s="83"/>
      <c r="AP20" s="83"/>
      <c r="AQ20" s="83"/>
    </row>
    <row r="21" spans="1:43" x14ac:dyDescent="0.25">
      <c r="B21" s="31">
        <v>48</v>
      </c>
      <c r="C21" s="53">
        <v>4.4187769316435395</v>
      </c>
      <c r="D21" s="146">
        <f>IF(C21="","",C21/('saadav soojus'!$P$5))</f>
        <v>9.9528727878990489E-2</v>
      </c>
      <c r="E21" s="53">
        <v>5.0341710716798191</v>
      </c>
      <c r="F21" s="146">
        <f>IF(E21="","",E21/('saadav soojus'!$P$5))</f>
        <v>0.11338989282338494</v>
      </c>
      <c r="G21" s="53">
        <v>5.713047195481221</v>
      </c>
      <c r="H21" s="146">
        <f>IF(G21="","",G21/('saadav soojus'!$P$5))</f>
        <v>0.12868092878981063</v>
      </c>
      <c r="I21" s="53">
        <v>6.5540203709153309</v>
      </c>
      <c r="J21" s="146">
        <f>IF(I21="","",I21/('saadav soojus'!$P$5))</f>
        <v>0.14762304594714357</v>
      </c>
      <c r="K21" s="53">
        <v>7.5690024951776245</v>
      </c>
      <c r="L21" s="146">
        <f>IF(K21="","",K21/('saadav soojus'!$P$5))</f>
        <v>0.17048454839691032</v>
      </c>
      <c r="M21" s="54">
        <v>8.7836744782120437</v>
      </c>
      <c r="N21" s="146">
        <f>IF(M21="","",M21/('saadav soojus'!$P$5))</f>
        <v>0.19784387409536786</v>
      </c>
      <c r="O21" s="54">
        <v>10.353080954003952</v>
      </c>
      <c r="P21" s="146">
        <f>IF(O21="","",O21/('saadav soojus'!$P$5))</f>
        <v>0.23319325526508447</v>
      </c>
      <c r="Q21" s="53">
        <v>12.393366262515887</v>
      </c>
      <c r="R21" s="146">
        <f>IF(Q21="","",Q21/('saadav soojus'!$P$5))</f>
        <v>0.27914873217820779</v>
      </c>
      <c r="S21" s="53">
        <v>15.094713330080067</v>
      </c>
      <c r="T21" s="146">
        <f>IF(S21="","",S21/('saadav soojus'!$P$5))</f>
        <v>0.33999399351487875</v>
      </c>
      <c r="W21" s="51"/>
      <c r="AI21" s="83"/>
      <c r="AJ21" s="83"/>
      <c r="AK21" s="83"/>
      <c r="AL21" s="83"/>
      <c r="AM21" s="83"/>
      <c r="AN21" s="83"/>
      <c r="AO21" s="83"/>
      <c r="AP21" s="83"/>
      <c r="AQ21" s="83"/>
    </row>
    <row r="22" spans="1:43" x14ac:dyDescent="0.25">
      <c r="B22" s="31">
        <v>46</v>
      </c>
      <c r="C22" s="53">
        <v>4.8223624971334793</v>
      </c>
      <c r="D22" s="146">
        <f>IF(C22="","",C22/('saadav soojus'!$P$5))</f>
        <v>0.10861910708231369</v>
      </c>
      <c r="E22" s="53">
        <v>5.4407468620959873</v>
      </c>
      <c r="F22" s="146">
        <f>IF(E22="","",E22/('saadav soojus'!$P$5))</f>
        <v>0.12254762398576456</v>
      </c>
      <c r="G22" s="53">
        <v>6.1231561229681901</v>
      </c>
      <c r="H22" s="146">
        <f>IF(G22="","",G22/('saadav soojus'!$P$5))</f>
        <v>0.13791824048850582</v>
      </c>
      <c r="I22" s="53">
        <v>6.9785662737009027</v>
      </c>
      <c r="J22" s="146">
        <f>IF(I22="","",I22/('saadav soojus'!$P$5))</f>
        <v>0.1571855367187176</v>
      </c>
      <c r="K22" s="53">
        <v>7.9996717218713966</v>
      </c>
      <c r="L22" s="146">
        <f>IF(K22="","",K22/('saadav soojus'!$P$5))</f>
        <v>0.18018496118817487</v>
      </c>
      <c r="M22" s="54">
        <v>9.2218394902034486</v>
      </c>
      <c r="N22" s="146">
        <f>IF(M22="","",M22/('saadav soojus'!$P$5))</f>
        <v>0.20771312228761971</v>
      </c>
      <c r="O22" s="54">
        <v>10.800743438778824</v>
      </c>
      <c r="P22" s="146">
        <f>IF(O22="","",O22/('saadav soojus'!$P$5))</f>
        <v>0.24327642495616433</v>
      </c>
      <c r="Q22" s="53">
        <v>12.86976266867021</v>
      </c>
      <c r="R22" s="146">
        <f>IF(Q22="","",Q22/('saadav soojus'!$P$5))</f>
        <v>0.28987910599072492</v>
      </c>
      <c r="S22" s="53">
        <v>15.571366019146604</v>
      </c>
      <c r="T22" s="146">
        <f>IF(S22="","",S22/('saadav soojus'!$P$5))</f>
        <v>0.35073013985509405</v>
      </c>
      <c r="W22" s="51"/>
      <c r="AF22" s="69"/>
      <c r="AG22" s="70"/>
      <c r="AI22" s="83"/>
      <c r="AJ22" s="83"/>
      <c r="AK22" s="83"/>
      <c r="AL22" s="83"/>
      <c r="AM22" s="83"/>
      <c r="AN22" s="83"/>
      <c r="AO22" s="83"/>
      <c r="AP22" s="83"/>
      <c r="AQ22" s="83"/>
    </row>
    <row r="23" spans="1:43" x14ac:dyDescent="0.25">
      <c r="B23" s="31">
        <v>44</v>
      </c>
      <c r="C23" s="53">
        <v>5.1724204933861273</v>
      </c>
      <c r="D23" s="146">
        <f>IF(C23="","",C23/('saadav soojus'!$P$5))</f>
        <v>0.11650382893857984</v>
      </c>
      <c r="E23" s="53">
        <v>5.790509675603098</v>
      </c>
      <c r="F23" s="146">
        <f>IF(E23="","",E23/('saadav soojus'!$P$5))</f>
        <v>0.13042569713275898</v>
      </c>
      <c r="G23" s="53">
        <v>6.4819365840151377</v>
      </c>
      <c r="H23" s="146">
        <f>IF(G23="","",G23/('saadav soojus'!$P$5))</f>
        <v>0.14599942752922809</v>
      </c>
      <c r="I23" s="53">
        <v>7.3378139938842661</v>
      </c>
      <c r="J23" s="146">
        <f>IF(I23="","",I23/('saadav soojus'!$P$5))</f>
        <v>0.16527724832498297</v>
      </c>
      <c r="K23" s="53">
        <v>8.3707842442476643</v>
      </c>
      <c r="L23" s="146">
        <f>IF(K23="","",K23/('saadav soojus'!$P$5))</f>
        <v>0.18854391612603705</v>
      </c>
      <c r="M23" s="54">
        <v>9.5949501731766293</v>
      </c>
      <c r="N23" s="146">
        <f>IF(M23="","",M23/('saadav soojus'!$P$5))</f>
        <v>0.21611708388351988</v>
      </c>
      <c r="O23" s="54">
        <v>11.190622817465009</v>
      </c>
      <c r="P23" s="146">
        <f>IF(O23="","",O23/('saadav soojus'!$P$5))</f>
        <v>0.25205808539912633</v>
      </c>
      <c r="Q23" s="53">
        <v>13.265055097154189</v>
      </c>
      <c r="R23" s="146">
        <f>IF(Q23="","",Q23/('saadav soojus'!$P$5))</f>
        <v>0.29878269020776616</v>
      </c>
      <c r="S23" s="53">
        <v>15.993261330018388</v>
      </c>
      <c r="T23" s="146">
        <f>IF(S23="","",S23/('saadav soojus'!$P$5))</f>
        <v>0.36023292857666944</v>
      </c>
      <c r="W23" s="51"/>
      <c r="AI23" s="83"/>
      <c r="AJ23" s="83"/>
      <c r="AK23" s="83"/>
      <c r="AL23" s="83"/>
      <c r="AM23" s="83"/>
      <c r="AN23" s="83"/>
      <c r="AO23" s="83"/>
      <c r="AP23" s="83"/>
      <c r="AQ23" s="83"/>
    </row>
    <row r="24" spans="1:43" x14ac:dyDescent="0.25">
      <c r="B24" s="31">
        <v>42</v>
      </c>
      <c r="C24" s="53">
        <v>5.501302145015238</v>
      </c>
      <c r="D24" s="146">
        <f>IF(C24="","",C24/('saadav soojus'!$P$5))</f>
        <v>0.12391157386794693</v>
      </c>
      <c r="E24" s="53">
        <v>6.1253094507625256</v>
      </c>
      <c r="F24" s="146">
        <f>IF(E24="","",E24/('saadav soojus'!$P$5))</f>
        <v>0.13796674213939067</v>
      </c>
      <c r="G24" s="53">
        <v>6.8143227400909838</v>
      </c>
      <c r="H24" s="146">
        <f>IF(G24="","",G24/('saadav soojus'!$P$5))</f>
        <v>0.1534861080724145</v>
      </c>
      <c r="I24" s="53">
        <v>7.6775565775511296</v>
      </c>
      <c r="J24" s="146">
        <f>IF(I24="","",I24/('saadav soojus'!$P$5))</f>
        <v>0.17292962536998294</v>
      </c>
      <c r="K24" s="53">
        <v>8.7194054018351022</v>
      </c>
      <c r="L24" s="146">
        <f>IF(K24="","",K24/('saadav soojus'!$P$5))</f>
        <v>0.19639627456438735</v>
      </c>
      <c r="M24" s="54">
        <v>9.9544989967927364</v>
      </c>
      <c r="N24" s="146">
        <f>IF(M24="","",M24/('saadav soojus'!$P$5))</f>
        <v>0.22421557755687863</v>
      </c>
      <c r="O24" s="54">
        <v>11.549727086096663</v>
      </c>
      <c r="P24" s="146">
        <f>IF(O24="","",O24/('saadav soojus'!$P$5))</f>
        <v>0.26014656589626928</v>
      </c>
      <c r="Q24" s="53">
        <v>13.639938384403701</v>
      </c>
      <c r="R24" s="146">
        <f>IF(Q24="","",Q24/('saadav soojus'!$P$5))</f>
        <v>0.30722657802112091</v>
      </c>
      <c r="S24" s="53">
        <v>16.3894934929641</v>
      </c>
      <c r="T24" s="146">
        <f>IF(S24="","",S24/('saadav soojus'!$P$5))</f>
        <v>0.36915767941446731</v>
      </c>
      <c r="W24" s="51"/>
      <c r="AI24" s="83"/>
      <c r="AJ24" s="83"/>
      <c r="AK24" s="83"/>
      <c r="AL24" s="83"/>
      <c r="AM24" s="83"/>
      <c r="AN24" s="83"/>
      <c r="AO24" s="83"/>
      <c r="AP24" s="83"/>
      <c r="AQ24" s="83"/>
    </row>
    <row r="25" spans="1:43" x14ac:dyDescent="0.25">
      <c r="B25" s="31">
        <v>40</v>
      </c>
      <c r="C25" s="53">
        <v>5.7965128285991732</v>
      </c>
      <c r="D25" s="146">
        <f>IF(C25="","",C25/('saadav soojus'!$P$5))</f>
        <v>0.1305609124174871</v>
      </c>
      <c r="E25" s="53">
        <v>6.4238913630427499</v>
      </c>
      <c r="F25" s="146">
        <f>IF(E25="","",E25/('saadav soojus'!$P$5))</f>
        <v>0.14469201439382734</v>
      </c>
      <c r="G25" s="53">
        <v>7.1168841126536053</v>
      </c>
      <c r="H25" s="146">
        <f>IF(G25="","",G25/('saadav soojus'!$P$5))</f>
        <v>0.16030101386700921</v>
      </c>
      <c r="I25" s="53">
        <v>7.9848105110566427</v>
      </c>
      <c r="J25" s="146">
        <f>IF(I25="","",I25/('saadav soojus'!$P$5))</f>
        <v>0.17985022661568678</v>
      </c>
      <c r="K25" s="53">
        <v>9.0323228518631122</v>
      </c>
      <c r="L25" s="146">
        <f>IF(K25="","",K25/('saadav soojus'!$P$5))</f>
        <v>0.20344444110780269</v>
      </c>
      <c r="M25" s="54">
        <v>10.261845871692246</v>
      </c>
      <c r="N25" s="146">
        <f>IF(M25="","",M25/('saadav soojus'!$P$5))</f>
        <v>0.23113827221866906</v>
      </c>
      <c r="O25" s="54">
        <v>11.878450411927195</v>
      </c>
      <c r="P25" s="146">
        <f>IF(O25="","",O25/('saadav soojus'!$P$5))</f>
        <v>0.26755074468831674</v>
      </c>
      <c r="Q25" s="53">
        <v>13.980094915114773</v>
      </c>
      <c r="R25" s="146">
        <f>IF(Q25="","",Q25/('saadav soojus'!$P$5))</f>
        <v>0.31488827882773107</v>
      </c>
      <c r="S25" s="53">
        <v>16.745119050977504</v>
      </c>
      <c r="T25" s="146">
        <f>IF(S25="","",S25/('saadav soojus'!$P$5))</f>
        <v>0.37716780527912946</v>
      </c>
      <c r="W25" s="51"/>
      <c r="AI25" s="83"/>
      <c r="AJ25" s="83"/>
      <c r="AK25" s="83"/>
      <c r="AL25" s="83"/>
      <c r="AM25" s="83"/>
      <c r="AN25" s="83"/>
      <c r="AO25" s="83"/>
      <c r="AP25" s="83"/>
      <c r="AQ25" s="83"/>
    </row>
    <row r="26" spans="1:43" x14ac:dyDescent="0.25">
      <c r="B26" s="31">
        <v>38</v>
      </c>
      <c r="C26" s="53">
        <v>6.0584209677073142</v>
      </c>
      <c r="D26" s="146">
        <f>IF(C26="","",C26/('saadav soojus'!$P$5))</f>
        <v>0.13646014297604153</v>
      </c>
      <c r="E26" s="53">
        <v>6.6871930384449039</v>
      </c>
      <c r="F26" s="146">
        <f>IF(E26="","",E26/('saadav soojus'!$P$5))</f>
        <v>0.1506226330257654</v>
      </c>
      <c r="G26" s="53">
        <v>7.3911343141371244</v>
      </c>
      <c r="H26" s="146">
        <f>IF(G26="","",G26/('saadav soojus'!$P$5))</f>
        <v>0.16647823758670918</v>
      </c>
      <c r="I26" s="53">
        <v>8.2516691644771392</v>
      </c>
      <c r="J26" s="146">
        <f>IF(I26="","",I26/('saadav soojus'!$P$5))</f>
        <v>0.18586096277850175</v>
      </c>
      <c r="K26" s="53">
        <v>9.3015197192410106</v>
      </c>
      <c r="L26" s="146">
        <f>IF(K26="","",K26/('saadav soojus'!$P$5))</f>
        <v>0.20950784330565159</v>
      </c>
      <c r="M26" s="54">
        <v>10.546461769493151</v>
      </c>
      <c r="N26" s="146">
        <f>IF(M26="","",M26/('saadav soojus'!$P$5))</f>
        <v>0.23754897334263925</v>
      </c>
      <c r="O26" s="54">
        <v>12.168330962299992</v>
      </c>
      <c r="P26" s="146">
        <f>IF(O26="","",O26/('saadav soojus'!$P$5))</f>
        <v>0.27408002708065854</v>
      </c>
      <c r="Q26" s="53">
        <v>14.276819704671318</v>
      </c>
      <c r="R26" s="146">
        <f>IF(Q26="","",Q26/('saadav soojus'!$P$5))</f>
        <v>0.32157172116745103</v>
      </c>
      <c r="S26" s="53">
        <v>17.051104036944718</v>
      </c>
      <c r="T26" s="146">
        <f>IF(S26="","",S26/('saadav soojus'!$P$5))</f>
        <v>0.38405982469411726</v>
      </c>
      <c r="W26" s="51"/>
      <c r="AI26" s="83"/>
      <c r="AJ26" s="83"/>
      <c r="AK26" s="83"/>
      <c r="AL26" s="83"/>
      <c r="AM26" s="83"/>
      <c r="AN26" s="83"/>
      <c r="AO26" s="83"/>
      <c r="AP26" s="83"/>
      <c r="AQ26" s="83"/>
    </row>
    <row r="27" spans="1:43" x14ac:dyDescent="0.25">
      <c r="B27" s="31">
        <v>36</v>
      </c>
      <c r="C27" s="53">
        <v>6.3039095471453583</v>
      </c>
      <c r="D27" s="146">
        <f>IF(C27="","",C27/('saadav soojus'!$P$5))</f>
        <v>0.1419895386432723</v>
      </c>
      <c r="E27" s="53">
        <v>6.9322737220778512</v>
      </c>
      <c r="F27" s="146">
        <f>IF(E27="","",E27/('saadav soojus'!$P$5))</f>
        <v>0.15614284122976449</v>
      </c>
      <c r="G27" s="53">
        <v>7.6357371721419929</v>
      </c>
      <c r="H27" s="146">
        <f>IF(G27="","",G27/('saadav soojus'!$P$5))</f>
        <v>0.17198768322503763</v>
      </c>
      <c r="I27" s="53">
        <v>8.5059081456515795</v>
      </c>
      <c r="J27" s="146">
        <f>IF(I27="","",I27/('saadav soojus'!$P$5))</f>
        <v>0.19158745288311332</v>
      </c>
      <c r="K27" s="53">
        <v>9.567352140995359</v>
      </c>
      <c r="L27" s="146">
        <f>IF(K27="","",K27/('saadav soojus'!$P$5))</f>
        <v>0.21549546458083568</v>
      </c>
      <c r="M27" s="54">
        <v>10.81404560293824</v>
      </c>
      <c r="N27" s="146">
        <f>IF(M27="","",M27/('saadav soojus'!$P$5))</f>
        <v>0.24357604349253878</v>
      </c>
      <c r="O27" s="54">
        <v>12.438123145447054</v>
      </c>
      <c r="P27" s="146">
        <f>IF(O27="","",O27/('saadav soojus'!$P$5))</f>
        <v>0.2801568381973345</v>
      </c>
      <c r="Q27" s="53">
        <v>14.549482822482215</v>
      </c>
      <c r="R27" s="146">
        <f>IF(Q27="","",Q27/('saadav soojus'!$P$5))</f>
        <v>0.32771319734401472</v>
      </c>
      <c r="S27" s="53">
        <v>17.346797144239567</v>
      </c>
      <c r="T27" s="146">
        <f>IF(S27="","",S27/('saadav soojus'!$P$5))</f>
        <v>0.39072002937675004</v>
      </c>
      <c r="W27" s="51"/>
    </row>
    <row r="28" spans="1:43" x14ac:dyDescent="0.25">
      <c r="B28" s="31">
        <v>34</v>
      </c>
      <c r="C28" s="53">
        <v>6.5181682774062466</v>
      </c>
      <c r="D28" s="146">
        <f>IF(C28="","",C28/('saadav soojus'!$P$5))</f>
        <v>0.14681551180048763</v>
      </c>
      <c r="E28" s="53">
        <v>7.1527337860849975</v>
      </c>
      <c r="F28" s="146">
        <f>IF(E28="","",E28/('saadav soojus'!$P$5))</f>
        <v>0.16110849350372772</v>
      </c>
      <c r="G28" s="53">
        <v>7.8634617290789182</v>
      </c>
      <c r="H28" s="146">
        <f>IF(G28="","",G28/('saadav soojus'!$P$5))</f>
        <v>0.17711696126042123</v>
      </c>
      <c r="I28" s="53">
        <v>8.7320749294931943</v>
      </c>
      <c r="J28" s="146">
        <f>IF(I28="","",I28/('saadav soojus'!$P$5))</f>
        <v>0.19668164356810589</v>
      </c>
      <c r="K28" s="53">
        <v>9.7916542951840846</v>
      </c>
      <c r="L28" s="146">
        <f>IF(K28="","",K28/('saadav soojus'!$P$5))</f>
        <v>0.22054765626470454</v>
      </c>
      <c r="M28" s="54">
        <v>11.048570475247795</v>
      </c>
      <c r="N28" s="146">
        <f>IF(M28="","",M28/('saadav soojus'!$P$5))</f>
        <v>0.24885849213342789</v>
      </c>
      <c r="O28" s="54">
        <v>12.685537812106434</v>
      </c>
      <c r="P28" s="146">
        <f>IF(O28="","",O28/('saadav soojus'!$P$5))</f>
        <v>0.28572961713869044</v>
      </c>
      <c r="Q28" s="53">
        <v>14.797358812587856</v>
      </c>
      <c r="R28" s="146">
        <f>IF(Q28="","",Q28/('saadav soojus'!$P$5))</f>
        <v>0.33329636715516503</v>
      </c>
      <c r="S28" s="53">
        <v>17.595323689426383</v>
      </c>
      <c r="T28" s="146">
        <f>IF(S28="","",S28/('saadav soojus'!$P$5))</f>
        <v>0.39631785231944477</v>
      </c>
      <c r="W28" s="51"/>
    </row>
    <row r="29" spans="1:43" x14ac:dyDescent="0.25">
      <c r="B29" s="31">
        <v>32</v>
      </c>
      <c r="C29" s="53">
        <v>6.7223463651538182</v>
      </c>
      <c r="D29" s="146">
        <f>IF(C29="","",C29/('saadav soojus'!$P$5))</f>
        <v>0.1514144281179769</v>
      </c>
      <c r="E29" s="53">
        <v>7.353361098185065</v>
      </c>
      <c r="F29" s="146">
        <f>IF(E29="","",E29/('saadav soojus'!$P$5))</f>
        <v>0.16562743199281635</v>
      </c>
      <c r="G29" s="53">
        <v>8.0692106995545139</v>
      </c>
      <c r="H29" s="146">
        <f>IF(G29="","",G29/('saadav soojus'!$P$5))</f>
        <v>0.18175126021025106</v>
      </c>
      <c r="I29" s="53">
        <v>8.9439390462973343</v>
      </c>
      <c r="J29" s="146">
        <f>IF(I29="","",I29/('saadav soojus'!$P$5))</f>
        <v>0.20145368034545888</v>
      </c>
      <c r="K29" s="53">
        <v>10.010862337056849</v>
      </c>
      <c r="L29" s="146">
        <f>IF(K29="","",K29/('saadav soojus'!$P$5))</f>
        <v>0.22548510793650139</v>
      </c>
      <c r="M29" s="54">
        <v>11.26432315628688</v>
      </c>
      <c r="N29" s="146">
        <f>IF(M29="","",M29/('saadav soojus'!$P$5))</f>
        <v>0.25371811510432873</v>
      </c>
      <c r="O29" s="54">
        <v>12.911057683367622</v>
      </c>
      <c r="P29" s="146">
        <f>IF(O29="","",O29/('saadav soojus'!$P$5))</f>
        <v>0.29080923673598724</v>
      </c>
      <c r="Q29" s="53">
        <v>15.03562935477412</v>
      </c>
      <c r="R29" s="146">
        <f>IF(Q29="","",Q29/('saadav soojus'!$P$5))</f>
        <v>0.3386631834307301</v>
      </c>
      <c r="S29" s="53">
        <v>17.83167375090941</v>
      </c>
      <c r="T29" s="146">
        <f>IF(S29="","",S29/('saadav soojus'!$P$5))</f>
        <v>0.40164141160234734</v>
      </c>
      <c r="W29" s="51"/>
    </row>
    <row r="30" spans="1:43" x14ac:dyDescent="0.25">
      <c r="B30" s="31">
        <v>30</v>
      </c>
      <c r="C30" s="53">
        <v>6.9096452063123923</v>
      </c>
      <c r="D30" s="146">
        <f>IF(C30="","",C30/('saadav soojus'!$P$5))</f>
        <v>0.15563315553556309</v>
      </c>
      <c r="E30" s="53">
        <v>7.5444085473308213</v>
      </c>
      <c r="F30" s="146">
        <f>IF(E30="","",E30/('saadav soojus'!$P$5))</f>
        <v>0.1699305932232093</v>
      </c>
      <c r="G30" s="53">
        <v>8.2553682391213226</v>
      </c>
      <c r="H30" s="146">
        <f>IF(G30="","",G30/('saadav soojus'!$P$5))</f>
        <v>0.18594428090009066</v>
      </c>
      <c r="I30" s="53">
        <v>9.1344411058222317</v>
      </c>
      <c r="J30" s="146">
        <f>IF(I30="","",I30/('saadav soojus'!$P$5))</f>
        <v>0.20574455719580681</v>
      </c>
      <c r="K30" s="53">
        <v>10.206571328263117</v>
      </c>
      <c r="L30" s="146">
        <f>IF(K30="","",K30/('saadav soojus'!$P$5))</f>
        <v>0.22989326594731896</v>
      </c>
      <c r="M30" s="54">
        <v>11.466481535171482</v>
      </c>
      <c r="N30" s="146">
        <f>IF(M30="","",M30/('saadav soojus'!$P$5))</f>
        <v>0.25827153940967829</v>
      </c>
      <c r="O30" s="54">
        <v>13.107224031420154</v>
      </c>
      <c r="P30" s="146">
        <f>IF(O30="","",O30/('saadav soojus'!$P$5))</f>
        <v>0.29522769627272472</v>
      </c>
      <c r="Q30" s="53">
        <v>15.256438689702518</v>
      </c>
      <c r="R30" s="146">
        <f>IF(Q30="","",Q30/('saadav soojus'!$P$5))</f>
        <v>0.34363670269843738</v>
      </c>
      <c r="S30" s="53">
        <v>18.066777442711583</v>
      </c>
      <c r="T30" s="146">
        <f>IF(S30="","",S30/('saadav soojus'!$P$5))</f>
        <v>0.40693689759919793</v>
      </c>
      <c r="W30" s="51"/>
    </row>
    <row r="31" spans="1:43" x14ac:dyDescent="0.25">
      <c r="E31" s="21"/>
      <c r="F31" s="21"/>
      <c r="G31" s="21"/>
      <c r="H31" s="21"/>
      <c r="I31" s="21"/>
      <c r="J31" s="21"/>
      <c r="O31" s="29"/>
      <c r="W31" s="51"/>
    </row>
    <row r="32" spans="1:43" x14ac:dyDescent="0.25">
      <c r="O32" s="29"/>
      <c r="W32" s="51"/>
    </row>
    <row r="33" spans="15:23" x14ac:dyDescent="0.25">
      <c r="O33" s="29"/>
      <c r="W33" s="51"/>
    </row>
    <row r="34" spans="15:23" x14ac:dyDescent="0.25">
      <c r="O34" s="29"/>
      <c r="Q34" s="21"/>
    </row>
    <row r="35" spans="15:23" x14ac:dyDescent="0.25">
      <c r="O35" s="29"/>
    </row>
    <row r="36" spans="15:23" x14ac:dyDescent="0.25">
      <c r="O36" s="29"/>
    </row>
    <row r="37" spans="15:23" x14ac:dyDescent="0.25">
      <c r="O37" s="29"/>
    </row>
    <row r="38" spans="15:23" x14ac:dyDescent="0.25">
      <c r="O38" s="29"/>
    </row>
    <row r="39" spans="15:23" x14ac:dyDescent="0.25">
      <c r="O39" s="29"/>
    </row>
    <row r="40" spans="15:23" x14ac:dyDescent="0.25">
      <c r="O40" s="29"/>
    </row>
    <row r="41" spans="15:23" x14ac:dyDescent="0.25">
      <c r="O41" s="29"/>
    </row>
    <row r="42" spans="15:23" x14ac:dyDescent="0.25">
      <c r="O42" s="29"/>
    </row>
    <row r="43" spans="15:23" x14ac:dyDescent="0.25">
      <c r="O43" s="29"/>
    </row>
    <row r="44" spans="15:23" x14ac:dyDescent="0.25">
      <c r="O44" s="29"/>
    </row>
    <row r="45" spans="15:23" x14ac:dyDescent="0.25">
      <c r="O45" s="29"/>
    </row>
    <row r="46" spans="15:23" x14ac:dyDescent="0.25">
      <c r="O46" s="29"/>
    </row>
    <row r="47" spans="15:23" x14ac:dyDescent="0.25">
      <c r="O47" s="29"/>
    </row>
    <row r="48" spans="15:23" x14ac:dyDescent="0.25">
      <c r="O48" s="29"/>
    </row>
    <row r="49" spans="15:15" x14ac:dyDescent="0.25">
      <c r="O49" s="29"/>
    </row>
    <row r="50" spans="15:15" x14ac:dyDescent="0.25">
      <c r="O50" s="29"/>
    </row>
    <row r="51" spans="15:15" x14ac:dyDescent="0.25">
      <c r="O51" s="29"/>
    </row>
    <row r="52" spans="15:15" x14ac:dyDescent="0.25">
      <c r="O52" s="29"/>
    </row>
    <row r="53" spans="15:15" x14ac:dyDescent="0.25">
      <c r="O53" s="29"/>
    </row>
    <row r="54" spans="15:15" x14ac:dyDescent="0.25">
      <c r="O54" s="29"/>
    </row>
    <row r="55" spans="15:15" x14ac:dyDescent="0.25">
      <c r="O55" s="29"/>
    </row>
    <row r="56" spans="15:15" x14ac:dyDescent="0.25">
      <c r="O56" s="29"/>
    </row>
    <row r="57" spans="15:15" x14ac:dyDescent="0.25">
      <c r="O57" s="29"/>
    </row>
    <row r="58" spans="15:15" x14ac:dyDescent="0.25">
      <c r="O58" s="29"/>
    </row>
    <row r="59" spans="15:15" x14ac:dyDescent="0.25">
      <c r="O59" s="29"/>
    </row>
    <row r="60" spans="15:15" x14ac:dyDescent="0.25">
      <c r="O60" s="29"/>
    </row>
    <row r="61" spans="15:15" x14ac:dyDescent="0.25">
      <c r="O61" s="29"/>
    </row>
    <row r="62" spans="15:15" x14ac:dyDescent="0.25">
      <c r="O62" s="29"/>
    </row>
    <row r="63" spans="15:15" x14ac:dyDescent="0.25">
      <c r="O63" s="29"/>
    </row>
    <row r="64" spans="15:15" x14ac:dyDescent="0.25">
      <c r="O64" s="29"/>
    </row>
    <row r="65" spans="15:15" x14ac:dyDescent="0.25">
      <c r="O65" s="29"/>
    </row>
    <row r="66" spans="15:15" x14ac:dyDescent="0.25">
      <c r="O66" s="29"/>
    </row>
    <row r="67" spans="15:15" x14ac:dyDescent="0.25">
      <c r="O67" s="29"/>
    </row>
    <row r="68" spans="15:15" x14ac:dyDescent="0.25">
      <c r="O68" s="29"/>
    </row>
    <row r="69" spans="15:15" x14ac:dyDescent="0.25">
      <c r="O69" s="29"/>
    </row>
    <row r="70" spans="15:15" x14ac:dyDescent="0.25">
      <c r="O70" s="29"/>
    </row>
    <row r="71" spans="15:15" x14ac:dyDescent="0.25">
      <c r="O71" s="29"/>
    </row>
    <row r="72" spans="15:15" x14ac:dyDescent="0.25">
      <c r="O72" s="29"/>
    </row>
  </sheetData>
  <mergeCells count="9">
    <mergeCell ref="C3:D3"/>
    <mergeCell ref="S3:T3"/>
    <mergeCell ref="G3:H3"/>
    <mergeCell ref="E3:F3"/>
    <mergeCell ref="K3:L3"/>
    <mergeCell ref="O3:P3"/>
    <mergeCell ref="Q3:R3"/>
    <mergeCell ref="I3:J3"/>
    <mergeCell ref="M3:N3"/>
  </mergeCells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Z187"/>
  <sheetViews>
    <sheetView tabSelected="1" topLeftCell="A34" zoomScale="80" zoomScaleNormal="80" workbookViewId="0">
      <selection activeCell="C58" sqref="C58"/>
    </sheetView>
  </sheetViews>
  <sheetFormatPr defaultRowHeight="15" x14ac:dyDescent="0.25"/>
  <cols>
    <col min="1" max="3" width="8.796875" style="19"/>
    <col min="4" max="4" width="16.09765625" style="19" customWidth="1"/>
    <col min="5" max="5" width="10.59765625" style="19" customWidth="1"/>
    <col min="6" max="6" width="16.59765625" style="19" customWidth="1"/>
    <col min="7" max="8" width="16.09765625" style="19" customWidth="1"/>
    <col min="9" max="9" width="13.09765625" style="19" bestFit="1" customWidth="1"/>
    <col min="10" max="10" width="14.59765625" style="19" customWidth="1"/>
    <col min="11" max="12" width="23.296875" style="19" customWidth="1"/>
    <col min="13" max="14" width="19.09765625" style="19" customWidth="1"/>
    <col min="15" max="16" width="15.69921875" style="19" customWidth="1"/>
    <col min="17" max="18" width="18.3984375" style="19" customWidth="1"/>
    <col min="19" max="22" width="8.796875" style="19"/>
    <col min="23" max="23" width="16.19921875" style="19" bestFit="1" customWidth="1"/>
    <col min="24" max="16384" width="8.796875" style="19"/>
  </cols>
  <sheetData>
    <row r="1" spans="2:26" x14ac:dyDescent="0.25">
      <c r="L1" s="51"/>
      <c r="M1" s="20"/>
    </row>
    <row r="3" spans="2:26" x14ac:dyDescent="0.25">
      <c r="K3" s="51"/>
      <c r="L3" s="51"/>
      <c r="N3" s="185"/>
    </row>
    <row r="4" spans="2:26" ht="17.25" x14ac:dyDescent="0.25">
      <c r="B4" s="19" t="s">
        <v>126</v>
      </c>
      <c r="C4" s="19" t="s">
        <v>114</v>
      </c>
      <c r="D4" s="19" t="s">
        <v>115</v>
      </c>
      <c r="E4" s="19" t="s">
        <v>374</v>
      </c>
      <c r="F4" s="19" t="s">
        <v>375</v>
      </c>
      <c r="G4" s="19" t="s">
        <v>376</v>
      </c>
      <c r="H4" s="19" t="s">
        <v>133</v>
      </c>
      <c r="I4" s="19" t="s">
        <v>113</v>
      </c>
      <c r="J4" s="19" t="s">
        <v>116</v>
      </c>
      <c r="K4" s="19" t="s">
        <v>364</v>
      </c>
      <c r="L4" s="19" t="s">
        <v>365</v>
      </c>
      <c r="M4" s="19" t="s">
        <v>118</v>
      </c>
      <c r="N4" s="19" t="s">
        <v>119</v>
      </c>
      <c r="O4" s="19" t="s">
        <v>117</v>
      </c>
      <c r="P4" s="19" t="s">
        <v>120</v>
      </c>
      <c r="Q4" s="19" t="s">
        <v>377</v>
      </c>
      <c r="R4" s="19" t="s">
        <v>124</v>
      </c>
    </row>
    <row r="5" spans="2:26" x14ac:dyDescent="0.25">
      <c r="B5" s="19">
        <f>IF(Table1[[#This Row],[kuupäev]]="","",WEEKDAY(Table1[[#This Row],[kuupäev]]))</f>
        <v>2</v>
      </c>
      <c r="C5" s="56">
        <v>43724</v>
      </c>
      <c r="D5" s="19">
        <v>41.41</v>
      </c>
      <c r="E5" s="19">
        <v>162.30000000000001</v>
      </c>
      <c r="F5" s="19">
        <v>45.4</v>
      </c>
      <c r="G5" s="19">
        <v>46</v>
      </c>
      <c r="H5" s="19">
        <f>IF(Table1[[#This Row],[peale SGK gaasid, °C]]="","",Table1[[#This Row],[peale SGK gaasid, °C]]-Table1[[#This Row],[kaugkütte return, °C]])</f>
        <v>-0.60000000000000142</v>
      </c>
      <c r="I5" s="71">
        <f t="shared" ref="I5:I44" si="0">VLOOKUP(C5,$W$47:$X$152,2,0)/100</f>
        <v>0.29916666666666669</v>
      </c>
      <c r="J5" s="19">
        <v>6.1</v>
      </c>
      <c r="K5" s="51">
        <v>5.753303625285791</v>
      </c>
      <c r="L5" s="51">
        <v>5.753303625285791</v>
      </c>
      <c r="M5" s="51">
        <f>ABS(J5-L5)</f>
        <v>0.34669637471420867</v>
      </c>
      <c r="N5" s="55">
        <f>IF(Table1[[#This Row],[mudeli järgi tegelik SGK võimsus, MW]]="","",ABS(M5/J5))</f>
        <v>5.6835471264624376E-2</v>
      </c>
      <c r="Q5" s="19">
        <v>53</v>
      </c>
      <c r="R5" s="57">
        <f>Table1[[#This Row],[SGK võimsus, MW]]/(Table1[[#This Row],[jaama võimsus, MW]]+Table1[[#This Row],[SGK võimsus, MW]])</f>
        <v>0.1283940223110924</v>
      </c>
      <c r="Y5" s="21"/>
      <c r="Z5" s="34"/>
    </row>
    <row r="6" spans="2:26" x14ac:dyDescent="0.25">
      <c r="B6" s="19">
        <f>IF(Table1[[#This Row],[kuupäev]]="","",WEEKDAY(Table1[[#This Row],[kuupäev]]))</f>
        <v>4</v>
      </c>
      <c r="C6" s="56">
        <v>43733</v>
      </c>
      <c r="D6" s="19">
        <v>45.67</v>
      </c>
      <c r="E6" s="19">
        <v>164.3</v>
      </c>
      <c r="F6" s="19">
        <v>40.9</v>
      </c>
      <c r="G6" s="19">
        <v>40</v>
      </c>
      <c r="H6" s="19">
        <f>IF(Table1[[#This Row],[peale SGK gaasid, °C]]="","",Table1[[#This Row],[peale SGK gaasid, °C]]-Table1[[#This Row],[kaugkütte return, °C]])</f>
        <v>0.89999999999999858</v>
      </c>
      <c r="I6" s="71">
        <f t="shared" si="0"/>
        <v>0.34989999999999993</v>
      </c>
      <c r="J6" s="19">
        <v>7.7</v>
      </c>
      <c r="K6" s="51">
        <v>8.3109507331210182</v>
      </c>
      <c r="L6" s="51">
        <v>7.1769228377320138</v>
      </c>
      <c r="M6" s="51">
        <f t="shared" ref="M6:M64" si="1">ABS(J6-L6)</f>
        <v>0.5230771622679864</v>
      </c>
      <c r="N6" s="55">
        <f>IF(Table1[[#This Row],[mudeli järgi tegelik SGK võimsus, MW]]="","",ABS(M6/J6))</f>
        <v>6.7932098995842391E-2</v>
      </c>
      <c r="Q6" s="19">
        <v>47</v>
      </c>
      <c r="R6" s="57">
        <f>Table1[[#This Row],[SGK võimsus, MW]]/(Table1[[#This Row],[jaama võimsus, MW]]+Table1[[#This Row],[SGK võimsus, MW]])</f>
        <v>0.1442758103803635</v>
      </c>
      <c r="Y6" s="21"/>
    </row>
    <row r="7" spans="2:26" x14ac:dyDescent="0.25">
      <c r="B7" s="19">
        <f>IF(Table1[[#This Row],[kuupäev]]="","",WEEKDAY(Table1[[#This Row],[kuupäev]]))</f>
        <v>2</v>
      </c>
      <c r="C7" s="56">
        <v>43738</v>
      </c>
      <c r="D7" s="19">
        <v>44.73</v>
      </c>
      <c r="E7" s="19">
        <v>163.80000000000001</v>
      </c>
      <c r="F7" s="19">
        <v>42.4</v>
      </c>
      <c r="G7" s="19">
        <v>42</v>
      </c>
      <c r="H7" s="19">
        <f>IF(Table1[[#This Row],[peale SGK gaasid, °C]]="","",Table1[[#This Row],[peale SGK gaasid, °C]]-Table1[[#This Row],[kaugkütte return, °C]])</f>
        <v>0.39999999999999858</v>
      </c>
      <c r="I7" s="71">
        <f t="shared" si="0"/>
        <v>0.30677272727272731</v>
      </c>
      <c r="J7" s="19">
        <v>7</v>
      </c>
      <c r="K7" s="51">
        <v>7.1094185280859765</v>
      </c>
      <c r="L7" s="51">
        <v>6.3582206777912553</v>
      </c>
      <c r="M7" s="51">
        <f t="shared" si="1"/>
        <v>0.64177932220874467</v>
      </c>
      <c r="N7" s="55">
        <f>IF(Table1[[#This Row],[mudeli järgi tegelik SGK võimsus, MW]]="","",ABS(M7/J7))</f>
        <v>9.1682760315534947E-2</v>
      </c>
      <c r="Q7" s="19">
        <v>49</v>
      </c>
      <c r="R7" s="57">
        <f>Table1[[#This Row],[SGK võimsus, MW]]/(Table1[[#This Row],[jaama võimsus, MW]]+Table1[[#This Row],[SGK võimsus, MW]])</f>
        <v>0.13531799729364005</v>
      </c>
      <c r="Y7" s="21"/>
    </row>
    <row r="8" spans="2:26" x14ac:dyDescent="0.25">
      <c r="B8" s="19">
        <f>IF(Table1[[#This Row],[kuupäev]]="","",WEEKDAY(Table1[[#This Row],[kuupäev]]))</f>
        <v>5</v>
      </c>
      <c r="C8" s="56">
        <v>43741</v>
      </c>
      <c r="D8" s="19">
        <v>47.56</v>
      </c>
      <c r="E8" s="19">
        <v>162.9</v>
      </c>
      <c r="F8" s="19">
        <v>41.4</v>
      </c>
      <c r="G8" s="19">
        <v>41</v>
      </c>
      <c r="H8" s="19">
        <f>IF(Table1[[#This Row],[peale SGK gaasid, °C]]="","",Table1[[#This Row],[peale SGK gaasid, °C]]-Table1[[#This Row],[kaugkütte return, °C]])</f>
        <v>0.39999999999999858</v>
      </c>
      <c r="I8" s="71">
        <f t="shared" si="0"/>
        <v>0.3743333333333333</v>
      </c>
      <c r="J8" s="19">
        <v>7.9</v>
      </c>
      <c r="K8" s="51">
        <v>8.8751489186632533</v>
      </c>
      <c r="L8" s="51">
        <v>7.5993058553856976</v>
      </c>
      <c r="M8" s="51">
        <f t="shared" si="1"/>
        <v>0.30069414461430277</v>
      </c>
      <c r="N8" s="55">
        <f>IF(Table1[[#This Row],[mudeli järgi tegelik SGK võimsus, MW]]="","",ABS(M8/J8))</f>
        <v>3.8062549951177561E-2</v>
      </c>
      <c r="Q8" s="19">
        <v>47</v>
      </c>
      <c r="R8" s="57">
        <f>Table1[[#This Row],[SGK võimsus, MW]]/(Table1[[#This Row],[jaama võimsus, MW]]+Table1[[#This Row],[SGK võimsus, MW]])</f>
        <v>0.14244500540930402</v>
      </c>
      <c r="Y8" s="55"/>
    </row>
    <row r="9" spans="2:26" x14ac:dyDescent="0.25">
      <c r="B9" s="19">
        <f>IF(Table1[[#This Row],[kuupäev]]="","",WEEKDAY(Table1[[#This Row],[kuupäev]]))</f>
        <v>2</v>
      </c>
      <c r="C9" s="56">
        <v>43745</v>
      </c>
      <c r="D9" s="19">
        <v>46.2</v>
      </c>
      <c r="E9" s="19">
        <v>162.9</v>
      </c>
      <c r="F9" s="19">
        <v>42.4</v>
      </c>
      <c r="G9" s="19">
        <v>42</v>
      </c>
      <c r="H9" s="19">
        <f>IF(Table1[[#This Row],[peale SGK gaasid, °C]]="","",Table1[[#This Row],[peale SGK gaasid, °C]]-Table1[[#This Row],[kaugkütte return, °C]])</f>
        <v>0.39999999999999858</v>
      </c>
      <c r="I9" s="71">
        <f t="shared" si="0"/>
        <v>0.34799999999999998</v>
      </c>
      <c r="J9" s="19">
        <v>7.1</v>
      </c>
      <c r="K9" s="51">
        <v>8.0527440826161722</v>
      </c>
      <c r="L9" s="51">
        <v>7.1047976841697302</v>
      </c>
      <c r="M9" s="51">
        <f t="shared" si="1"/>
        <v>4.7976841697305872E-3</v>
      </c>
      <c r="N9" s="55">
        <f>IF(Table1[[#This Row],[mudeli järgi tegelik SGK võimsus, MW]]="","",ABS(M9/J9))</f>
        <v>6.7573016475078694E-4</v>
      </c>
      <c r="O9" s="19">
        <v>805.6</v>
      </c>
      <c r="P9" s="19">
        <f>ROUND(VLOOKUP(Table1[[#This Row],[kaugkütte return, °C]],vee_tihedus,2,1)*Table1[[#This Row],[vee kulu SGK, m3/h]]/3600,2)</f>
        <v>221.76</v>
      </c>
      <c r="Q9" s="19">
        <v>48</v>
      </c>
      <c r="R9" s="57">
        <f>Table1[[#This Row],[SGK võimsus, MW]]/(Table1[[#This Row],[jaama võimsus, MW]]+Table1[[#This Row],[SGK võimsus, MW]])</f>
        <v>0.13320825515947465</v>
      </c>
      <c r="Y9" s="21"/>
    </row>
    <row r="10" spans="2:26" x14ac:dyDescent="0.25">
      <c r="B10" s="19">
        <f>IF(Table1[[#This Row],[kuupäev]]="","",WEEKDAY(Table1[[#This Row],[kuupäev]]))</f>
        <v>2</v>
      </c>
      <c r="C10" s="56">
        <v>43745</v>
      </c>
      <c r="D10" s="19">
        <v>46.33</v>
      </c>
      <c r="E10" s="19">
        <v>162.9</v>
      </c>
      <c r="F10" s="19">
        <v>43.4</v>
      </c>
      <c r="G10" s="19">
        <v>43</v>
      </c>
      <c r="H10" s="19">
        <f>IF(Table1[[#This Row],[peale SGK gaasid, °C]]="","",Table1[[#This Row],[peale SGK gaasid, °C]]-Table1[[#This Row],[kaugkütte return, °C]])</f>
        <v>0.39999999999999858</v>
      </c>
      <c r="I10" s="71">
        <f t="shared" si="0"/>
        <v>0.34799999999999998</v>
      </c>
      <c r="J10" s="19">
        <v>7</v>
      </c>
      <c r="K10" s="51">
        <v>7.903521395302894</v>
      </c>
      <c r="L10" s="51">
        <v>7.0909440121268066</v>
      </c>
      <c r="M10" s="51">
        <f t="shared" si="1"/>
        <v>9.0944012126806584E-2</v>
      </c>
      <c r="N10" s="55">
        <f>IF(Table1[[#This Row],[mudeli järgi tegelik SGK võimsus, MW]]="","",ABS(M10/J10))</f>
        <v>1.299200173240094E-2</v>
      </c>
      <c r="O10" s="19">
        <v>804.5</v>
      </c>
      <c r="P10" s="19">
        <f>ROUND(VLOOKUP(Table1[[#This Row],[kaugkütte return, °C]],vee_tihedus,2,1)*Table1[[#This Row],[vee kulu SGK, m3/h]]/3600,2)</f>
        <v>221.46</v>
      </c>
      <c r="Q10" s="19">
        <v>48</v>
      </c>
      <c r="R10" s="57">
        <f>Table1[[#This Row],[SGK võimsus, MW]]/(Table1[[#This Row],[jaama võimsus, MW]]+Table1[[#This Row],[SGK võimsus, MW]])</f>
        <v>0.13125820363772736</v>
      </c>
      <c r="Y10" s="21"/>
    </row>
    <row r="11" spans="2:26" x14ac:dyDescent="0.25">
      <c r="B11" s="19">
        <f>IF(Table1[[#This Row],[kuupäev]]="","",WEEKDAY(Table1[[#This Row],[kuupäev]]))</f>
        <v>5</v>
      </c>
      <c r="C11" s="56">
        <v>43769</v>
      </c>
      <c r="D11" s="19">
        <v>43.81</v>
      </c>
      <c r="E11" s="19">
        <v>161.4</v>
      </c>
      <c r="F11" s="19">
        <v>40.9</v>
      </c>
      <c r="G11" s="19">
        <v>41</v>
      </c>
      <c r="H11" s="19">
        <f>IF(Table1[[#This Row],[peale SGK gaasid, °C]]="","",Table1[[#This Row],[peale SGK gaasid, °C]]-Table1[[#This Row],[kaugkütte return, °C]])</f>
        <v>-0.10000000000000142</v>
      </c>
      <c r="I11" s="71">
        <f t="shared" si="0"/>
        <v>0.35455555555555551</v>
      </c>
      <c r="J11" s="19">
        <v>7.6</v>
      </c>
      <c r="K11" s="51">
        <v>8.7851658391834064</v>
      </c>
      <c r="L11" s="51">
        <v>7.9979079666492723</v>
      </c>
      <c r="M11" s="51">
        <f t="shared" si="1"/>
        <v>0.39790796664927264</v>
      </c>
      <c r="N11" s="55">
        <f>IF(Table1[[#This Row],[mudeli järgi tegelik SGK võimsus, MW]]="","",ABS(M11/J11))</f>
        <v>5.2356311401220088E-2</v>
      </c>
      <c r="O11" s="19">
        <v>798.9</v>
      </c>
      <c r="P11" s="19">
        <f>ROUND(VLOOKUP(Table1[[#This Row],[kaugkütte return, °C]],vee_tihedus,2,1)*Table1[[#This Row],[vee kulu SGK, m3/h]]/3600,2)</f>
        <v>220.14</v>
      </c>
      <c r="Q11" s="19">
        <v>48</v>
      </c>
      <c r="R11" s="57">
        <f>Table1[[#This Row],[SGK võimsus, MW]]/(Table1[[#This Row],[jaama võimsus, MW]]+Table1[[#This Row],[SGK võimsus, MW]])</f>
        <v>0.14783116125267456</v>
      </c>
      <c r="Y11" s="55"/>
    </row>
    <row r="12" spans="2:26" x14ac:dyDescent="0.25">
      <c r="B12" s="19">
        <f>IF(Table1[[#This Row],[kuupäev]]="","",WEEKDAY(Table1[[#This Row],[kuupäev]]))</f>
        <v>5</v>
      </c>
      <c r="C12" s="56">
        <v>43769</v>
      </c>
      <c r="D12" s="19">
        <v>44.47</v>
      </c>
      <c r="E12" s="19">
        <v>161.4</v>
      </c>
      <c r="F12" s="19">
        <v>40.9</v>
      </c>
      <c r="G12" s="19">
        <v>41</v>
      </c>
      <c r="H12" s="19">
        <f>IF(Table1[[#This Row],[peale SGK gaasid, °C]]="","",Table1[[#This Row],[peale SGK gaasid, °C]]-Table1[[#This Row],[kaugkütte return, °C]])</f>
        <v>-0.10000000000000142</v>
      </c>
      <c r="I12" s="71">
        <f t="shared" si="0"/>
        <v>0.35455555555555551</v>
      </c>
      <c r="J12" s="19">
        <v>8.5</v>
      </c>
      <c r="K12" s="51">
        <v>8.9175148337933372</v>
      </c>
      <c r="L12" s="51">
        <v>8.0349859801671162</v>
      </c>
      <c r="M12" s="51">
        <f t="shared" si="1"/>
        <v>0.46501401983288382</v>
      </c>
      <c r="N12" s="55">
        <f>IF(Table1[[#This Row],[mudeli järgi tegelik SGK võimsus, MW]]="","",ABS(M12/J12))</f>
        <v>5.4707531745045154E-2</v>
      </c>
      <c r="O12" s="19">
        <v>807.7</v>
      </c>
      <c r="P12" s="19">
        <f>ROUND(VLOOKUP(Table1[[#This Row],[kaugkütte return, °C]],vee_tihedus,2,1)*Table1[[#This Row],[vee kulu SGK, m3/h]]/3600,2)</f>
        <v>222.57</v>
      </c>
      <c r="Q12" s="19">
        <v>49</v>
      </c>
      <c r="R12" s="57">
        <f>Table1[[#This Row],[SGK võimsus, MW]]/(Table1[[#This Row],[jaama võimsus, MW]]+Table1[[#This Row],[SGK võimsus, MW]])</f>
        <v>0.16046818954124978</v>
      </c>
      <c r="Y12" s="21"/>
    </row>
    <row r="13" spans="2:26" x14ac:dyDescent="0.25">
      <c r="B13" s="19">
        <f>IF(Table1[[#This Row],[kuupäev]]="","",WEEKDAY(Table1[[#This Row],[kuupäev]]))</f>
        <v>2</v>
      </c>
      <c r="C13" s="56">
        <v>43773</v>
      </c>
      <c r="D13" s="19">
        <v>44.65</v>
      </c>
      <c r="E13" s="19">
        <v>162.4</v>
      </c>
      <c r="F13" s="19">
        <v>42.4</v>
      </c>
      <c r="G13" s="19">
        <v>42</v>
      </c>
      <c r="H13" s="19">
        <f>IF(Table1[[#This Row],[peale SGK gaasid, °C]]="","",Table1[[#This Row],[peale SGK gaasid, °C]]-Table1[[#This Row],[kaugkütte return, °C]])</f>
        <v>0.39999999999999858</v>
      </c>
      <c r="I13" s="71">
        <f t="shared" si="0"/>
        <v>0.37680000000000002</v>
      </c>
      <c r="J13" s="19">
        <v>8</v>
      </c>
      <c r="K13" s="51">
        <v>8.3713206210983451</v>
      </c>
      <c r="L13" s="51">
        <v>7.6226360805558011</v>
      </c>
      <c r="M13" s="51">
        <f t="shared" si="1"/>
        <v>0.37736391944419889</v>
      </c>
      <c r="N13" s="55">
        <f>IF(Table1[[#This Row],[mudeli järgi tegelik SGK võimsus, MW]]="","",ABS(M13/J13))</f>
        <v>4.7170489930524861E-2</v>
      </c>
      <c r="O13" s="19">
        <v>802.5</v>
      </c>
      <c r="P13" s="19">
        <f>ROUND(VLOOKUP(Table1[[#This Row],[kaugkütte return, °C]],vee_tihedus,2,1)*Table1[[#This Row],[vee kulu SGK, m3/h]]/3600,2)</f>
        <v>220.91</v>
      </c>
      <c r="Q13" s="19">
        <v>50</v>
      </c>
      <c r="R13" s="57">
        <f>Table1[[#This Row],[SGK võimsus, MW]]/(Table1[[#This Row],[jaama võimsus, MW]]+Table1[[#This Row],[SGK võimsus, MW]])</f>
        <v>0.15194681861348527</v>
      </c>
      <c r="Y13" s="21"/>
    </row>
    <row r="14" spans="2:26" x14ac:dyDescent="0.25">
      <c r="B14" s="19">
        <f>IF(Table1[[#This Row],[kuupäev]]="","",WEEKDAY(Table1[[#This Row],[kuupäev]]))</f>
        <v>3</v>
      </c>
      <c r="C14" s="56">
        <v>43774</v>
      </c>
      <c r="D14" s="19">
        <v>43.13</v>
      </c>
      <c r="E14" s="19">
        <v>161.4</v>
      </c>
      <c r="F14" s="19">
        <v>45.2</v>
      </c>
      <c r="G14" s="19">
        <v>44</v>
      </c>
      <c r="H14" s="19">
        <f>IF(Table1[[#This Row],[peale SGK gaasid, °C]]="","",Table1[[#This Row],[peale SGK gaasid, °C]]-Table1[[#This Row],[kaugkütte return, °C]])</f>
        <v>1.2000000000000028</v>
      </c>
      <c r="I14" s="71">
        <f t="shared" si="0"/>
        <v>0.37989999999999996</v>
      </c>
      <c r="J14" s="19">
        <v>8.4</v>
      </c>
      <c r="K14" s="51">
        <v>9.3479694789478778</v>
      </c>
      <c r="L14" s="51">
        <v>9.1903691783622374</v>
      </c>
      <c r="M14" s="51">
        <f t="shared" si="1"/>
        <v>0.79036917836223708</v>
      </c>
      <c r="N14" s="55">
        <f>IF(Table1[[#This Row],[mudeli järgi tegelik SGK võimsus, MW]]="","",ABS(M14/J14))</f>
        <v>9.4091568852647273E-2</v>
      </c>
      <c r="O14" s="19">
        <v>805.6</v>
      </c>
      <c r="P14" s="19">
        <f>ROUND(VLOOKUP(Table1[[#This Row],[kaugkütte return, °C]],vee_tihedus,2,1)*Table1[[#This Row],[vee kulu SGK, m3/h]]/3600,2)</f>
        <v>221.54</v>
      </c>
      <c r="Q14" s="19">
        <v>52</v>
      </c>
      <c r="R14" s="57">
        <f>Table1[[#This Row],[SGK võimsus, MW]]/(Table1[[#This Row],[jaama võimsus, MW]]+Table1[[#This Row],[SGK võimsus, MW]])</f>
        <v>0.16301183776440908</v>
      </c>
      <c r="Y14" s="21"/>
    </row>
    <row r="15" spans="2:26" x14ac:dyDescent="0.25">
      <c r="B15" s="19">
        <f>IF(Table1[[#This Row],[kuupäev]]="","",WEEKDAY(Table1[[#This Row],[kuupäev]]))</f>
        <v>4</v>
      </c>
      <c r="C15" s="56">
        <v>43775</v>
      </c>
      <c r="D15" s="19">
        <v>43.85</v>
      </c>
      <c r="E15" s="19">
        <v>161.30000000000001</v>
      </c>
      <c r="F15" s="19">
        <v>43.2</v>
      </c>
      <c r="G15" s="19">
        <v>43</v>
      </c>
      <c r="H15" s="19">
        <f>IF(Table1[[#This Row],[peale SGK gaasid, °C]]="","",Table1[[#This Row],[peale SGK gaasid, °C]]-Table1[[#This Row],[kaugkütte return, °C]])</f>
        <v>0.20000000000000284</v>
      </c>
      <c r="I15" s="71">
        <f t="shared" si="0"/>
        <v>0.43557142857142855</v>
      </c>
      <c r="J15" s="19">
        <v>9</v>
      </c>
      <c r="K15" s="51">
        <v>9.6758225760317362</v>
      </c>
      <c r="L15" s="51">
        <v>9.2100241839933936</v>
      </c>
      <c r="M15" s="51">
        <f t="shared" si="1"/>
        <v>0.21002418399339362</v>
      </c>
      <c r="N15" s="55">
        <f>IF(Table1[[#This Row],[mudeli järgi tegelik SGK võimsus, MW]]="","",ABS(M15/J15))</f>
        <v>2.3336020443710401E-2</v>
      </c>
      <c r="O15" s="19">
        <v>798.4</v>
      </c>
      <c r="P15" s="19">
        <f>ROUND(VLOOKUP(Table1[[#This Row],[kaugkütte return, °C]],vee_tihedus,2,1)*Table1[[#This Row],[vee kulu SGK, m3/h]]/3600,2)</f>
        <v>219.78</v>
      </c>
      <c r="Q15" s="19">
        <v>51</v>
      </c>
      <c r="R15" s="57">
        <f>Table1[[#This Row],[SGK võimsus, MW]]/(Table1[[#This Row],[jaama võimsus, MW]]+Table1[[#This Row],[SGK võimsus, MW]])</f>
        <v>0.17029328287606432</v>
      </c>
      <c r="Y15" s="21"/>
    </row>
    <row r="16" spans="2:26" x14ac:dyDescent="0.25">
      <c r="B16" s="19">
        <f>IF(Table1[[#This Row],[kuupäev]]="","",WEEKDAY(Table1[[#This Row],[kuupäev]]))</f>
        <v>5</v>
      </c>
      <c r="C16" s="56">
        <v>43776</v>
      </c>
      <c r="D16" s="19">
        <v>44.12</v>
      </c>
      <c r="E16" s="19">
        <v>161.30000000000001</v>
      </c>
      <c r="F16" s="19">
        <v>41.2</v>
      </c>
      <c r="G16" s="19">
        <v>41</v>
      </c>
      <c r="H16" s="19">
        <f>IF(Table1[[#This Row],[peale SGK gaasid, °C]]="","",Table1[[#This Row],[peale SGK gaasid, °C]]-Table1[[#This Row],[kaugkütte return, °C]])</f>
        <v>0.20000000000000284</v>
      </c>
      <c r="I16" s="71">
        <f t="shared" si="0"/>
        <v>0.45262500000000006</v>
      </c>
      <c r="J16" s="19">
        <v>8.6</v>
      </c>
      <c r="K16" s="51">
        <v>9.536419084632227</v>
      </c>
      <c r="L16" s="51">
        <v>8.7522689462214309</v>
      </c>
      <c r="M16" s="51">
        <f t="shared" si="1"/>
        <v>0.15226894622143128</v>
      </c>
      <c r="N16" s="55">
        <f>IF(Table1[[#This Row],[mudeli järgi tegelik SGK võimsus, MW]]="","",ABS(M16/J16))</f>
        <v>1.770569142109666E-2</v>
      </c>
      <c r="O16" s="19">
        <v>896.5</v>
      </c>
      <c r="P16" s="19">
        <f>ROUND(VLOOKUP(Table1[[#This Row],[kaugkütte return, °C]],vee_tihedus,2,1)*Table1[[#This Row],[vee kulu SGK, m3/h]]/3600,2)</f>
        <v>247.04</v>
      </c>
      <c r="Q16" s="19">
        <v>49</v>
      </c>
      <c r="R16" s="57">
        <f>Table1[[#This Row],[SGK võimsus, MW]]/(Table1[[#This Row],[jaama võimsus, MW]]+Table1[[#This Row],[SGK võimsus, MW]])</f>
        <v>0.16312594840667677</v>
      </c>
      <c r="Y16" s="55"/>
    </row>
    <row r="17" spans="2:25" x14ac:dyDescent="0.25">
      <c r="B17" s="19">
        <f>IF(Table1[[#This Row],[kuupäev]]="","",WEEKDAY(Table1[[#This Row],[kuupäev]]))</f>
        <v>3</v>
      </c>
      <c r="C17" s="56">
        <v>43781</v>
      </c>
      <c r="D17" s="19">
        <v>45.07</v>
      </c>
      <c r="E17" s="19">
        <v>162.4</v>
      </c>
      <c r="F17" s="19">
        <v>42.7</v>
      </c>
      <c r="G17" s="19">
        <v>42</v>
      </c>
      <c r="H17" s="19">
        <f>IF(Table1[[#This Row],[peale SGK gaasid, °C]]="","",Table1[[#This Row],[peale SGK gaasid, °C]]-Table1[[#This Row],[kaugkütte return, °C]])</f>
        <v>0.70000000000000284</v>
      </c>
      <c r="I17" s="71">
        <f t="shared" si="0"/>
        <v>0.40622727272727283</v>
      </c>
      <c r="J17" s="19">
        <v>8.8000000000000007</v>
      </c>
      <c r="K17" s="51">
        <v>8.9496720348799972</v>
      </c>
      <c r="L17" s="51">
        <v>8.3366026921978964</v>
      </c>
      <c r="M17" s="51">
        <f t="shared" si="1"/>
        <v>0.46339730780210431</v>
      </c>
      <c r="N17" s="55">
        <f>IF(Table1[[#This Row],[mudeli järgi tegelik SGK võimsus, MW]]="","",ABS(M17/J17))</f>
        <v>5.2658784977511849E-2</v>
      </c>
      <c r="O17" s="19">
        <v>810.5</v>
      </c>
      <c r="P17" s="19">
        <f>ROUND(VLOOKUP(Table1[[#This Row],[kaugkütte return, °C]],vee_tihedus,2,1)*Table1[[#This Row],[vee kulu SGK, m3/h]]/3600,2)</f>
        <v>223.11</v>
      </c>
      <c r="Q17" s="19">
        <v>50</v>
      </c>
      <c r="R17" s="57">
        <f>Table1[[#This Row],[SGK võimsus, MW]]/(Table1[[#This Row],[jaama võimsus, MW]]+Table1[[#This Row],[SGK võimsus, MW]])</f>
        <v>0.16335622795619084</v>
      </c>
      <c r="Y17" s="21"/>
    </row>
    <row r="18" spans="2:25" x14ac:dyDescent="0.25">
      <c r="B18" s="19">
        <f>IF(Table1[[#This Row],[kuupäev]]="","",WEEKDAY(Table1[[#This Row],[kuupäev]]))</f>
        <v>6</v>
      </c>
      <c r="C18" s="56">
        <v>43784</v>
      </c>
      <c r="D18" s="19">
        <v>45.35</v>
      </c>
      <c r="E18" s="19">
        <v>164.3</v>
      </c>
      <c r="F18" s="19">
        <v>42.9</v>
      </c>
      <c r="G18" s="19">
        <v>42</v>
      </c>
      <c r="H18" s="19">
        <f>IF(Table1[[#This Row],[peale SGK gaasid, °C]]="","",Table1[[#This Row],[peale SGK gaasid, °C]]-Table1[[#This Row],[kaugkütte return, °C]])</f>
        <v>0.89999999999999858</v>
      </c>
      <c r="I18" s="71">
        <f t="shared" si="0"/>
        <v>0.41230769230769232</v>
      </c>
      <c r="J18" s="19">
        <v>9.1</v>
      </c>
      <c r="K18" s="51">
        <v>9.2502562454625288</v>
      </c>
      <c r="L18" s="51">
        <v>8.4682713872176354</v>
      </c>
      <c r="M18" s="51">
        <f t="shared" si="1"/>
        <v>0.63172861278236425</v>
      </c>
      <c r="N18" s="55">
        <f>IF(Table1[[#This Row],[mudeli järgi tegelik SGK võimsus, MW]]="","",ABS(M18/J18))</f>
        <v>6.9420726679380693E-2</v>
      </c>
      <c r="O18" s="19">
        <v>808.5</v>
      </c>
      <c r="P18" s="19">
        <f>ROUND(VLOOKUP(Table1[[#This Row],[kaugkütte return, °C]],vee_tihedus,2,1)*Table1[[#This Row],[vee kulu SGK, m3/h]]/3600,2)</f>
        <v>222.56</v>
      </c>
      <c r="Q18" s="19">
        <v>50</v>
      </c>
      <c r="R18" s="57">
        <f>Table1[[#This Row],[SGK võimsus, MW]]/(Table1[[#This Row],[jaama võimsus, MW]]+Table1[[#This Row],[SGK võimsus, MW]])</f>
        <v>0.16712580348943984</v>
      </c>
      <c r="Y18" s="21"/>
    </row>
    <row r="19" spans="2:25" x14ac:dyDescent="0.25">
      <c r="B19" s="19">
        <f>IF(Table1[[#This Row],[kuupäev]]="","",WEEKDAY(Table1[[#This Row],[kuupäev]]))</f>
        <v>4</v>
      </c>
      <c r="C19" s="56">
        <v>43789</v>
      </c>
      <c r="D19" s="19">
        <v>45.46</v>
      </c>
      <c r="E19" s="19">
        <v>164.3</v>
      </c>
      <c r="F19" s="19">
        <v>42.9</v>
      </c>
      <c r="G19" s="19">
        <v>42</v>
      </c>
      <c r="H19" s="19">
        <f>IF(Table1[[#This Row],[peale SGK gaasid, °C]]="","",Table1[[#This Row],[peale SGK gaasid, °C]]-Table1[[#This Row],[kaugkütte return, °C]])</f>
        <v>0.89999999999999858</v>
      </c>
      <c r="I19" s="71">
        <f t="shared" si="0"/>
        <v>0.46186206896551718</v>
      </c>
      <c r="J19" s="19">
        <v>9.1</v>
      </c>
      <c r="K19" s="51">
        <v>9.5882086888644</v>
      </c>
      <c r="L19" s="51">
        <v>9.8785987539538933</v>
      </c>
      <c r="M19" s="51">
        <f t="shared" si="1"/>
        <v>0.77859875395389366</v>
      </c>
      <c r="N19" s="55">
        <f>IF(Table1[[#This Row],[mudeli järgi tegelik SGK võimsus, MW]]="","",ABS(M19/J19))</f>
        <v>8.5560302632296012E-2</v>
      </c>
      <c r="O19" s="19">
        <v>801.3</v>
      </c>
      <c r="P19" s="19">
        <f>ROUND(VLOOKUP(Table1[[#This Row],[kaugkütte return, °C]],vee_tihedus,2,1)*Table1[[#This Row],[vee kulu SGK, m3/h]]/3600,2)</f>
        <v>220.58</v>
      </c>
      <c r="Q19" s="19">
        <v>51</v>
      </c>
      <c r="R19" s="57">
        <f>Table1[[#This Row],[SGK võimsus, MW]]/(Table1[[#This Row],[jaama võimsus, MW]]+Table1[[#This Row],[SGK võimsus, MW]])</f>
        <v>0.16678885630498533</v>
      </c>
      <c r="Y19" s="55"/>
    </row>
    <row r="20" spans="2:25" x14ac:dyDescent="0.25">
      <c r="B20" s="19">
        <f>IF(Table1[[#This Row],[kuupäev]]="","",WEEKDAY(Table1[[#This Row],[kuupäev]]))</f>
        <v>6</v>
      </c>
      <c r="C20" s="56">
        <v>43791</v>
      </c>
      <c r="D20" s="19">
        <v>45.74</v>
      </c>
      <c r="E20" s="19">
        <v>161.19999999999999</v>
      </c>
      <c r="F20" s="19">
        <v>44.4</v>
      </c>
      <c r="G20" s="19">
        <v>44</v>
      </c>
      <c r="H20" s="19">
        <f>IF(Table1[[#This Row],[peale SGK gaasid, °C]]="","",Table1[[#This Row],[peale SGK gaasid, °C]]-Table1[[#This Row],[kaugkütte return, °C]])</f>
        <v>0.39999999999999858</v>
      </c>
      <c r="I20" s="71">
        <f t="shared" si="0"/>
        <v>0.37142857142857144</v>
      </c>
      <c r="J20" s="19">
        <v>7.6</v>
      </c>
      <c r="K20" s="51">
        <v>7.9774578469914923</v>
      </c>
      <c r="L20" s="51">
        <v>7.4062671561426647</v>
      </c>
      <c r="M20" s="51">
        <f t="shared" si="1"/>
        <v>0.19373284385733491</v>
      </c>
      <c r="N20" s="55">
        <f>IF(Table1[[#This Row],[mudeli järgi tegelik SGK võimsus, MW]]="","",ABS(M20/J20))</f>
        <v>2.5491163665438805E-2</v>
      </c>
      <c r="O20" s="19">
        <v>804.3</v>
      </c>
      <c r="P20" s="19">
        <f>ROUND(VLOOKUP(Table1[[#This Row],[kaugkütte return, °C]],vee_tihedus,2,1)*Table1[[#This Row],[vee kulu SGK, m3/h]]/3600,2)</f>
        <v>221.18</v>
      </c>
      <c r="Q20" s="19">
        <v>51</v>
      </c>
      <c r="R20" s="57">
        <f>Table1[[#This Row],[SGK võimsus, MW]]/(Table1[[#This Row],[jaama võimsus, MW]]+Table1[[#This Row],[SGK võimsus, MW]])</f>
        <v>0.14248218972628421</v>
      </c>
      <c r="Y20" s="21"/>
    </row>
    <row r="21" spans="2:25" x14ac:dyDescent="0.25">
      <c r="B21" s="19">
        <f>IF(Table1[[#This Row],[kuupäev]]="","",WEEKDAY(Table1[[#This Row],[kuupäev]]))</f>
        <v>2</v>
      </c>
      <c r="C21" s="56">
        <v>43794</v>
      </c>
      <c r="D21" s="19">
        <v>46.38</v>
      </c>
      <c r="E21" s="19">
        <v>160.19999999999999</v>
      </c>
      <c r="F21" s="19">
        <v>45.4</v>
      </c>
      <c r="G21" s="19">
        <v>45</v>
      </c>
      <c r="H21" s="19">
        <f>IF(Table1[[#This Row],[peale SGK gaasid, °C]]="","",Table1[[#This Row],[peale SGK gaasid, °C]]-Table1[[#This Row],[kaugkütte return, °C]])</f>
        <v>0.39999999999999858</v>
      </c>
      <c r="I21" s="71">
        <f t="shared" si="0"/>
        <v>0.37807142857142856</v>
      </c>
      <c r="J21" s="19">
        <v>8.1999999999999993</v>
      </c>
      <c r="K21" s="51">
        <v>8.0975757849357368</v>
      </c>
      <c r="L21" s="51">
        <v>7.4062745886789267</v>
      </c>
      <c r="M21" s="51">
        <f t="shared" si="1"/>
        <v>0.79372541132107255</v>
      </c>
      <c r="N21" s="55">
        <f>IF(Table1[[#This Row],[mudeli järgi tegelik SGK võimsus, MW]]="","",ABS(M21/J21))</f>
        <v>9.6795781868423483E-2</v>
      </c>
      <c r="O21" s="19">
        <v>808.3</v>
      </c>
      <c r="P21" s="19">
        <f>ROUND(VLOOKUP(Table1[[#This Row],[kaugkütte return, °C]],vee_tihedus,2,1)*Table1[[#This Row],[vee kulu SGK, m3/h]]/3600,2)</f>
        <v>222.28</v>
      </c>
      <c r="Q21" s="19">
        <v>52</v>
      </c>
      <c r="R21" s="57">
        <f>Table1[[#This Row],[SGK võimsus, MW]]/(Table1[[#This Row],[jaama võimsus, MW]]+Table1[[#This Row],[SGK võimsus, MW]])</f>
        <v>0.15023818248442652</v>
      </c>
      <c r="Y21" s="21"/>
    </row>
    <row r="22" spans="2:25" x14ac:dyDescent="0.25">
      <c r="B22" s="19">
        <f>IF(Table1[[#This Row],[kuupäev]]="","",WEEKDAY(Table1[[#This Row],[kuupäev]]))</f>
        <v>3</v>
      </c>
      <c r="C22" s="56">
        <v>43795</v>
      </c>
      <c r="D22" s="19">
        <v>44.91</v>
      </c>
      <c r="E22" s="19">
        <v>160.19999999999999</v>
      </c>
      <c r="F22" s="19">
        <v>46.4</v>
      </c>
      <c r="G22" s="19">
        <v>46</v>
      </c>
      <c r="H22" s="19">
        <f>IF(Table1[[#This Row],[peale SGK gaasid, °C]]="","",Table1[[#This Row],[peale SGK gaasid, °C]]-Table1[[#This Row],[kaugkütte return, °C]])</f>
        <v>0.39999999999999858</v>
      </c>
      <c r="I22" s="71">
        <f t="shared" si="0"/>
        <v>0.37309999999999993</v>
      </c>
      <c r="J22" s="19">
        <v>7</v>
      </c>
      <c r="K22" s="51">
        <v>7.4432190700317786</v>
      </c>
      <c r="L22" s="51">
        <v>7.1967139253885115</v>
      </c>
      <c r="M22" s="51">
        <f t="shared" si="1"/>
        <v>0.19671392538851151</v>
      </c>
      <c r="N22" s="55">
        <f>IF(Table1[[#This Row],[mudeli järgi tegelik SGK võimsus, MW]]="","",ABS(M22/J22))</f>
        <v>2.8101989341215931E-2</v>
      </c>
      <c r="O22" s="19">
        <v>803.5</v>
      </c>
      <c r="P22" s="19">
        <f>ROUND(VLOOKUP(Table1[[#This Row],[kaugkütte return, °C]],vee_tihedus,2,1)*Table1[[#This Row],[vee kulu SGK, m3/h]]/3600,2)</f>
        <v>220.74</v>
      </c>
      <c r="Q22" s="19">
        <v>52</v>
      </c>
      <c r="R22" s="57">
        <f>Table1[[#This Row],[SGK võimsus, MW]]/(Table1[[#This Row],[jaama võimsus, MW]]+Table1[[#This Row],[SGK võimsus, MW]])</f>
        <v>0.13484877672895396</v>
      </c>
      <c r="Y22" s="55"/>
    </row>
    <row r="23" spans="2:25" x14ac:dyDescent="0.25">
      <c r="B23" s="19">
        <f>IF(Table1[[#This Row],[kuupäev]]="","",WEEKDAY(Table1[[#This Row],[kuupäev]]))</f>
        <v>3</v>
      </c>
      <c r="C23" s="56">
        <v>43795</v>
      </c>
      <c r="D23" s="19">
        <v>45.3</v>
      </c>
      <c r="E23" s="19">
        <v>160.1</v>
      </c>
      <c r="F23" s="19">
        <v>45.4</v>
      </c>
      <c r="G23" s="19">
        <v>45</v>
      </c>
      <c r="H23" s="19">
        <f>IF(Table1[[#This Row],[peale SGK gaasid, °C]]="","",Table1[[#This Row],[peale SGK gaasid, °C]]-Table1[[#This Row],[kaugkütte return, °C]])</f>
        <v>0.39999999999999858</v>
      </c>
      <c r="I23" s="71">
        <f t="shared" si="0"/>
        <v>0.37309999999999993</v>
      </c>
      <c r="J23" s="19">
        <v>7.8</v>
      </c>
      <c r="K23" s="51">
        <v>7.7018406181370596</v>
      </c>
      <c r="L23" s="51">
        <v>7.2504353864224713</v>
      </c>
      <c r="M23" s="51">
        <f t="shared" si="1"/>
        <v>0.5495646135775285</v>
      </c>
      <c r="N23" s="55">
        <f>IF(Table1[[#This Row],[mudeli järgi tegelik SGK võimsus, MW]]="","",ABS(M23/J23))</f>
        <v>7.0457001740708791E-2</v>
      </c>
      <c r="O23" s="19">
        <v>798.6</v>
      </c>
      <c r="P23" s="19">
        <f>ROUND(VLOOKUP(Table1[[#This Row],[kaugkütte return, °C]],vee_tihedus,2,1)*Table1[[#This Row],[vee kulu SGK, m3/h]]/3600,2)</f>
        <v>219.62</v>
      </c>
      <c r="Q23" s="19">
        <v>51</v>
      </c>
      <c r="R23" s="57">
        <f>Table1[[#This Row],[SGK võimsus, MW]]/(Table1[[#This Row],[jaama võimsus, MW]]+Table1[[#This Row],[SGK võimsus, MW]])</f>
        <v>0.14689265536723164</v>
      </c>
      <c r="Y23" s="21"/>
    </row>
    <row r="24" spans="2:25" x14ac:dyDescent="0.25">
      <c r="B24" s="19">
        <f>IF(Table1[[#This Row],[kuupäev]]="","",WEEKDAY(Table1[[#This Row],[kuupäev]]))</f>
        <v>6</v>
      </c>
      <c r="C24" s="56">
        <v>43798</v>
      </c>
      <c r="D24" s="19">
        <v>44.06</v>
      </c>
      <c r="E24" s="19">
        <v>162.1</v>
      </c>
      <c r="F24" s="19">
        <v>43.4</v>
      </c>
      <c r="G24" s="19">
        <v>43</v>
      </c>
      <c r="H24" s="19">
        <f>IF(Table1[[#This Row],[peale SGK gaasid, °C]]="","",Table1[[#This Row],[peale SGK gaasid, °C]]-Table1[[#This Row],[kaugkütte return, °C]])</f>
        <v>0.39999999999999858</v>
      </c>
      <c r="I24" s="71">
        <f t="shared" si="0"/>
        <v>0.38210526315789473</v>
      </c>
      <c r="J24" s="19">
        <v>7.8</v>
      </c>
      <c r="K24" s="51">
        <v>8.0920750261403445</v>
      </c>
      <c r="L24" s="51">
        <v>7.5572426047088896</v>
      </c>
      <c r="M24" s="51">
        <f t="shared" si="1"/>
        <v>0.24275739529111018</v>
      </c>
      <c r="N24" s="55">
        <f>IF(Table1[[#This Row],[mudeli järgi tegelik SGK võimsus, MW]]="","",ABS(M24/J24))</f>
        <v>3.1122742986039766E-2</v>
      </c>
      <c r="O24" s="19">
        <v>799.5</v>
      </c>
      <c r="P24" s="19">
        <f>ROUND(VLOOKUP(Table1[[#This Row],[kaugkütte return, °C]],vee_tihedus,2,1)*Table1[[#This Row],[vee kulu SGK, m3/h]]/3600,2)</f>
        <v>220.08</v>
      </c>
      <c r="Q24" s="19">
        <v>50</v>
      </c>
      <c r="R24" s="57">
        <f>Table1[[#This Row],[SGK võimsus, MW]]/(Table1[[#This Row],[jaama võimsus, MW]]+Table1[[#This Row],[SGK võimsus, MW]])</f>
        <v>0.15040493636714231</v>
      </c>
      <c r="Y24" s="21"/>
    </row>
    <row r="25" spans="2:25" x14ac:dyDescent="0.25">
      <c r="B25" s="19">
        <f>IF(Table1[[#This Row],[kuupäev]]="","",WEEKDAY(Table1[[#This Row],[kuupäev]]))</f>
        <v>6</v>
      </c>
      <c r="C25" s="56">
        <v>43798</v>
      </c>
      <c r="D25" s="19">
        <v>45.17</v>
      </c>
      <c r="E25" s="19">
        <v>163.19999999999999</v>
      </c>
      <c r="F25" s="19">
        <v>42.4</v>
      </c>
      <c r="G25" s="19">
        <v>42</v>
      </c>
      <c r="H25" s="19">
        <f>IF(Table1[[#This Row],[peale SGK gaasid, °C]]="","",Table1[[#This Row],[peale SGK gaasid, °C]]-Table1[[#This Row],[kaugkütte return, °C]])</f>
        <v>0.39999999999999858</v>
      </c>
      <c r="I25" s="71">
        <f t="shared" si="0"/>
        <v>0.38210526315789473</v>
      </c>
      <c r="J25" s="19">
        <v>8.1999999999999993</v>
      </c>
      <c r="K25" s="51">
        <v>8.4885901419609144</v>
      </c>
      <c r="L25" s="51">
        <v>7.6164555854260669</v>
      </c>
      <c r="M25" s="51">
        <f t="shared" si="1"/>
        <v>0.58354441457393236</v>
      </c>
      <c r="N25" s="55">
        <f>IF(Table1[[#This Row],[mudeli järgi tegelik SGK võimsus, MW]]="","",ABS(M25/J25))</f>
        <v>7.1163952996821031E-2</v>
      </c>
      <c r="O25" s="19">
        <v>804.2</v>
      </c>
      <c r="P25" s="19">
        <f>ROUND(VLOOKUP(Table1[[#This Row],[kaugkütte return, °C]],vee_tihedus,2,1)*Table1[[#This Row],[vee kulu SGK, m3/h]]/3600,2)</f>
        <v>221.38</v>
      </c>
      <c r="Q25" s="19">
        <v>50</v>
      </c>
      <c r="R25" s="57">
        <f>Table1[[#This Row],[SGK võimsus, MW]]/(Table1[[#This Row],[jaama võimsus, MW]]+Table1[[#This Row],[SGK võimsus, MW]])</f>
        <v>0.15364436949597149</v>
      </c>
      <c r="Y25" s="55"/>
    </row>
    <row r="26" spans="2:25" x14ac:dyDescent="0.25">
      <c r="B26" s="19">
        <f>IF(Table1[[#This Row],[kuupäev]]="","",WEEKDAY(Table1[[#This Row],[kuupäev]]))</f>
        <v>2</v>
      </c>
      <c r="C26" s="56">
        <v>43801</v>
      </c>
      <c r="D26" s="19">
        <v>39.14</v>
      </c>
      <c r="E26" s="19">
        <v>160.9</v>
      </c>
      <c r="F26" s="19">
        <v>44.4</v>
      </c>
      <c r="G26" s="19">
        <v>45</v>
      </c>
      <c r="H26" s="19">
        <f>IF(Table1[[#This Row],[peale SGK gaasid, °C]]="","",Table1[[#This Row],[peale SGK gaasid, °C]]-Table1[[#This Row],[kaugkütte return, °C]])</f>
        <v>-0.60000000000000142</v>
      </c>
      <c r="I26" s="71">
        <f t="shared" si="0"/>
        <v>0.45159999999999995</v>
      </c>
      <c r="J26" s="19">
        <v>6.9</v>
      </c>
      <c r="K26" s="51">
        <v>7.0424604921655396</v>
      </c>
      <c r="L26" s="51">
        <v>7.0424604921655396</v>
      </c>
      <c r="M26" s="51">
        <f t="shared" si="1"/>
        <v>0.14246049216553924</v>
      </c>
      <c r="N26" s="55">
        <f>IF(Table1[[#This Row],[mudeli järgi tegelik SGK võimsus, MW]]="","",ABS(M26/J26))</f>
        <v>2.0646448139933223E-2</v>
      </c>
      <c r="O26" s="19">
        <v>802.5</v>
      </c>
      <c r="P26" s="19">
        <f>ROUND(VLOOKUP(Table1[[#This Row],[kaugkütte return, °C]],vee_tihedus,2,1)*Table1[[#This Row],[vee kulu SGK, m3/h]]/3600,2)</f>
        <v>220.69</v>
      </c>
      <c r="Q26" s="19">
        <v>50</v>
      </c>
      <c r="R26" s="57">
        <f>Table1[[#This Row],[SGK võimsus, MW]]/(Table1[[#This Row],[jaama võimsus, MW]]+Table1[[#This Row],[SGK võimsus, MW]])</f>
        <v>0.14986967854039968</v>
      </c>
      <c r="Y26" s="21"/>
    </row>
    <row r="27" spans="2:25" x14ac:dyDescent="0.25">
      <c r="B27" s="19">
        <f>IF(Table1[[#This Row],[kuupäev]]="","",WEEKDAY(Table1[[#This Row],[kuupäev]]))</f>
        <v>2</v>
      </c>
      <c r="C27" s="56">
        <v>43801</v>
      </c>
      <c r="D27" s="19">
        <v>38.61</v>
      </c>
      <c r="E27" s="19">
        <v>159.80000000000001</v>
      </c>
      <c r="F27" s="19">
        <v>44.4</v>
      </c>
      <c r="G27" s="19">
        <v>45</v>
      </c>
      <c r="H27" s="19">
        <f>IF(Table1[[#This Row],[peale SGK gaasid, °C]]="","",Table1[[#This Row],[peale SGK gaasid, °C]]-Table1[[#This Row],[kaugkütte return, °C]])</f>
        <v>-0.60000000000000142</v>
      </c>
      <c r="I27" s="71">
        <f t="shared" si="0"/>
        <v>0.45159999999999995</v>
      </c>
      <c r="J27" s="19">
        <v>6.7</v>
      </c>
      <c r="K27" s="51">
        <v>6.9212871410110823</v>
      </c>
      <c r="L27" s="51">
        <v>6.9212871410110823</v>
      </c>
      <c r="M27" s="51">
        <f t="shared" si="1"/>
        <v>0.22128714101108216</v>
      </c>
      <c r="N27" s="55">
        <f>IF(Table1[[#This Row],[mudeli järgi tegelik SGK võimsus, MW]]="","",ABS(M27/J27))</f>
        <v>3.3027931494191365E-2</v>
      </c>
      <c r="O27" s="19">
        <v>801.9</v>
      </c>
      <c r="P27" s="19">
        <f>ROUND(VLOOKUP(Table1[[#This Row],[kaugkütte return, °C]],vee_tihedus,2,1)*Table1[[#This Row],[vee kulu SGK, m3/h]]/3600,2)</f>
        <v>220.52</v>
      </c>
      <c r="Q27" s="19">
        <v>50</v>
      </c>
      <c r="R27" s="57">
        <f>Table1[[#This Row],[SGK võimsus, MW]]/(Table1[[#This Row],[jaama võimsus, MW]]+Table1[[#This Row],[SGK võimsus, MW]])</f>
        <v>0.14787022732288677</v>
      </c>
      <c r="Y27" s="21"/>
    </row>
    <row r="28" spans="2:25" x14ac:dyDescent="0.25">
      <c r="B28" s="19">
        <f>IF(Table1[[#This Row],[kuupäev]]="","",WEEKDAY(Table1[[#This Row],[kuupäev]]))</f>
        <v>2</v>
      </c>
      <c r="C28" s="56">
        <v>43801</v>
      </c>
      <c r="D28" s="19">
        <v>37.340000000000003</v>
      </c>
      <c r="E28" s="19">
        <v>161.1</v>
      </c>
      <c r="F28" s="19">
        <v>46.4</v>
      </c>
      <c r="G28" s="19">
        <v>46</v>
      </c>
      <c r="H28" s="19">
        <f>IF(Table1[[#This Row],[peale SGK gaasid, °C]]="","",Table1[[#This Row],[peale SGK gaasid, °C]]-Table1[[#This Row],[kaugkütte return, °C]])</f>
        <v>0.39999999999999858</v>
      </c>
      <c r="I28" s="71">
        <f t="shared" si="0"/>
        <v>0.45159999999999995</v>
      </c>
      <c r="J28" s="19">
        <v>6.5</v>
      </c>
      <c r="K28" s="51">
        <v>6.515638174885062</v>
      </c>
      <c r="L28" s="51">
        <v>6.5548500734226609</v>
      </c>
      <c r="M28" s="51">
        <f t="shared" si="1"/>
        <v>5.4850073422660905E-2</v>
      </c>
      <c r="N28" s="55">
        <f>IF(Table1[[#This Row],[mudeli järgi tegelik SGK võimsus, MW]]="","",ABS(M28/J28))</f>
        <v>8.4384728342555247E-3</v>
      </c>
      <c r="O28" s="19">
        <v>809.7</v>
      </c>
      <c r="P28" s="19">
        <f>ROUND(VLOOKUP(Table1[[#This Row],[kaugkütte return, °C]],vee_tihedus,2,1)*Table1[[#This Row],[vee kulu SGK, m3/h]]/3600,2)</f>
        <v>222.44</v>
      </c>
      <c r="Q28" s="19">
        <v>51</v>
      </c>
      <c r="R28" s="57">
        <f>Table1[[#This Row],[SGK võimsus, MW]]/(Table1[[#This Row],[jaama võimsus, MW]]+Table1[[#This Row],[SGK võimsus, MW]])</f>
        <v>0.14826642335766421</v>
      </c>
      <c r="Y28" s="55"/>
    </row>
    <row r="29" spans="2:25" x14ac:dyDescent="0.25">
      <c r="B29" s="19">
        <f>IF(Table1[[#This Row],[kuupäev]]="","",WEEKDAY(Table1[[#This Row],[kuupäev]]))</f>
        <v>2</v>
      </c>
      <c r="C29" s="56">
        <v>43801</v>
      </c>
      <c r="D29" s="19">
        <v>41.86</v>
      </c>
      <c r="E29" s="19">
        <v>162.19999999999999</v>
      </c>
      <c r="F29" s="19">
        <v>45.4</v>
      </c>
      <c r="G29" s="19">
        <v>45</v>
      </c>
      <c r="H29" s="19">
        <f>IF(Table1[[#This Row],[peale SGK gaasid, °C]]="","",Table1[[#This Row],[peale SGK gaasid, °C]]-Table1[[#This Row],[kaugkütte return, °C]])</f>
        <v>0.39999999999999858</v>
      </c>
      <c r="I29" s="71">
        <f t="shared" si="0"/>
        <v>0.45159999999999995</v>
      </c>
      <c r="J29" s="19">
        <v>6.9</v>
      </c>
      <c r="K29" s="51">
        <v>7.5619282167585293</v>
      </c>
      <c r="L29" s="51">
        <v>7.5619282167585293</v>
      </c>
      <c r="M29" s="51">
        <f t="shared" si="1"/>
        <v>0.66192821675852898</v>
      </c>
      <c r="N29" s="55">
        <f>IF(Table1[[#This Row],[mudeli järgi tegelik SGK võimsus, MW]]="","",ABS(M29/J29))</f>
        <v>9.5931625617178107E-2</v>
      </c>
      <c r="O29" s="19">
        <v>799.5</v>
      </c>
      <c r="P29" s="19">
        <f>ROUND(VLOOKUP(Table1[[#This Row],[kaugkütte return, °C]],vee_tihedus,2,1)*Table1[[#This Row],[vee kulu SGK, m3/h]]/3600,2)</f>
        <v>219.86</v>
      </c>
      <c r="Q29" s="19">
        <v>49</v>
      </c>
      <c r="R29" s="57">
        <f>Table1[[#This Row],[SGK võimsus, MW]]/(Table1[[#This Row],[jaama võimsus, MW]]+Table1[[#This Row],[SGK võimsus, MW]])</f>
        <v>0.14150943396226418</v>
      </c>
      <c r="Y29" s="21"/>
    </row>
    <row r="30" spans="2:25" x14ac:dyDescent="0.25">
      <c r="B30" s="19">
        <f>IF(Table1[[#This Row],[kuupäev]]="","",WEEKDAY(Table1[[#This Row],[kuupäev]]))</f>
        <v>2</v>
      </c>
      <c r="C30" s="56">
        <v>43801</v>
      </c>
      <c r="D30" s="19">
        <v>42.09</v>
      </c>
      <c r="E30" s="19">
        <v>161.9</v>
      </c>
      <c r="F30" s="19">
        <v>44.4</v>
      </c>
      <c r="G30" s="19">
        <v>45</v>
      </c>
      <c r="H30" s="19">
        <f>IF(Table1[[#This Row],[peale SGK gaasid, °C]]="","",Table1[[#This Row],[peale SGK gaasid, °C]]-Table1[[#This Row],[kaugkütte return, °C]])</f>
        <v>-0.60000000000000142</v>
      </c>
      <c r="I30" s="71">
        <f t="shared" si="0"/>
        <v>0.45159999999999995</v>
      </c>
      <c r="J30" s="19">
        <v>7.5</v>
      </c>
      <c r="K30" s="51">
        <v>7.5965026747310951</v>
      </c>
      <c r="L30" s="51">
        <v>7.5965026747310951</v>
      </c>
      <c r="M30" s="51">
        <f t="shared" si="1"/>
        <v>9.6502674731095084E-2</v>
      </c>
      <c r="N30" s="55">
        <f>IF(Table1[[#This Row],[mudeli järgi tegelik SGK võimsus, MW]]="","",ABS(M30/J30))</f>
        <v>1.2867023297479345E-2</v>
      </c>
      <c r="O30" s="19">
        <v>796.7</v>
      </c>
      <c r="P30" s="19">
        <f>ROUND(VLOOKUP(Table1[[#This Row],[kaugkütte return, °C]],vee_tihedus,2,1)*Table1[[#This Row],[vee kulu SGK, m3/h]]/3600,2)</f>
        <v>219.09</v>
      </c>
      <c r="Q30" s="19">
        <v>49</v>
      </c>
      <c r="R30" s="57">
        <f>Table1[[#This Row],[SGK võimsus, MW]]/(Table1[[#This Row],[jaama võimsus, MW]]+Table1[[#This Row],[SGK võimsus, MW]])</f>
        <v>0.15124016938898971</v>
      </c>
      <c r="Y30" s="21"/>
    </row>
    <row r="31" spans="2:25" x14ac:dyDescent="0.25">
      <c r="B31" s="19">
        <f>IF(Table1[[#This Row],[kuupäev]]="","",WEEKDAY(Table1[[#This Row],[kuupäev]]))</f>
        <v>3</v>
      </c>
      <c r="C31" s="56">
        <v>43802</v>
      </c>
      <c r="D31" s="21">
        <v>43</v>
      </c>
      <c r="E31" s="19">
        <v>163.19999999999999</v>
      </c>
      <c r="F31" s="19">
        <v>45.5</v>
      </c>
      <c r="G31" s="19">
        <v>45</v>
      </c>
      <c r="H31" s="19">
        <f>IF(Table1[[#This Row],[peale SGK gaasid, °C]]="","",Table1[[#This Row],[peale SGK gaasid, °C]]-Table1[[#This Row],[kaugkütte return, °C]])</f>
        <v>0.5</v>
      </c>
      <c r="I31" s="71">
        <f t="shared" si="0"/>
        <v>0.38195238095238082</v>
      </c>
      <c r="J31" s="19">
        <v>7.9</v>
      </c>
      <c r="K31" s="51">
        <v>7.5780521283947291</v>
      </c>
      <c r="L31" s="51">
        <v>7.503675247977708</v>
      </c>
      <c r="M31" s="51">
        <f t="shared" si="1"/>
        <v>0.39632475202229234</v>
      </c>
      <c r="N31" s="55">
        <f>IF(Table1[[#This Row],[mudeli järgi tegelik SGK võimsus, MW]]="","",ABS(M31/J31))</f>
        <v>5.0167690129404093E-2</v>
      </c>
      <c r="O31" s="19">
        <v>719.9</v>
      </c>
      <c r="P31" s="19">
        <f>ROUND(VLOOKUP(Table1[[#This Row],[kaugkütte return, °C]],vee_tihedus,2,1)*Table1[[#This Row],[vee kulu SGK, m3/h]]/3600,2)</f>
        <v>197.97</v>
      </c>
      <c r="Q31" s="19">
        <v>50</v>
      </c>
      <c r="R31" s="57">
        <f>Table1[[#This Row],[SGK võimsus, MW]]/(Table1[[#This Row],[jaama võimsus, MW]]+Table1[[#This Row],[SGK võimsus, MW]])</f>
        <v>0.15520628683693519</v>
      </c>
      <c r="Y31" s="21"/>
    </row>
    <row r="32" spans="2:25" x14ac:dyDescent="0.25">
      <c r="B32" s="19">
        <f>IF(Table1[[#This Row],[kuupäev]]="","",WEEKDAY(Table1[[#This Row],[kuupäev]]))</f>
        <v>3</v>
      </c>
      <c r="C32" s="56">
        <v>43802</v>
      </c>
      <c r="D32" s="19">
        <v>45.26</v>
      </c>
      <c r="E32" s="19">
        <v>164.2</v>
      </c>
      <c r="F32" s="19">
        <v>44.4</v>
      </c>
      <c r="G32" s="19">
        <v>43</v>
      </c>
      <c r="H32" s="19">
        <f>IF(Table1[[#This Row],[peale SGK gaasid, °C]]="","",Table1[[#This Row],[peale SGK gaasid, °C]]-Table1[[#This Row],[kaugkütte return, °C]])</f>
        <v>1.3999999999999986</v>
      </c>
      <c r="I32" s="71">
        <f t="shared" si="0"/>
        <v>0.38195238095238082</v>
      </c>
      <c r="J32" s="19">
        <v>7.7</v>
      </c>
      <c r="K32" s="51">
        <v>8.3644828196552989</v>
      </c>
      <c r="L32" s="51">
        <v>7.7288911035112102</v>
      </c>
      <c r="M32" s="51">
        <f t="shared" si="1"/>
        <v>2.8891103511210048E-2</v>
      </c>
      <c r="N32" s="55">
        <f>IF(Table1[[#This Row],[mudeli järgi tegelik SGK võimsus, MW]]="","",ABS(M32/J32))</f>
        <v>3.7520913650922138E-3</v>
      </c>
      <c r="O32" s="19">
        <v>781.2</v>
      </c>
      <c r="P32" s="19">
        <f>ROUND(VLOOKUP(Table1[[#This Row],[kaugkütte return, °C]],vee_tihedus,2,1)*Table1[[#This Row],[vee kulu SGK, m3/h]]/3600,2)</f>
        <v>215.05</v>
      </c>
      <c r="Q32" s="19">
        <v>51</v>
      </c>
      <c r="R32" s="57">
        <f>Table1[[#This Row],[SGK võimsus, MW]]/(Table1[[#This Row],[jaama võimsus, MW]]+Table1[[#This Row],[SGK võimsus, MW]])</f>
        <v>0.14539274924471299</v>
      </c>
      <c r="Y32" s="21"/>
    </row>
    <row r="33" spans="2:25" x14ac:dyDescent="0.25">
      <c r="B33" s="19">
        <f>IF(Table1[[#This Row],[kuupäev]]="","",WEEKDAY(Table1[[#This Row],[kuupäev]]))</f>
        <v>3</v>
      </c>
      <c r="C33" s="56">
        <v>43802</v>
      </c>
      <c r="D33" s="19">
        <v>45.02</v>
      </c>
      <c r="E33" s="19">
        <v>162.1</v>
      </c>
      <c r="F33" s="19">
        <v>43.3</v>
      </c>
      <c r="G33" s="19">
        <v>42</v>
      </c>
      <c r="H33" s="19">
        <f>IF(Table1[[#This Row],[peale SGK gaasid, °C]]="","",Table1[[#This Row],[peale SGK gaasid, °C]]-Table1[[#This Row],[kaugkütte return, °C]])</f>
        <v>1.2999999999999972</v>
      </c>
      <c r="I33" s="71">
        <f t="shared" si="0"/>
        <v>0.38195238095238082</v>
      </c>
      <c r="J33" s="19">
        <v>8.3000000000000007</v>
      </c>
      <c r="K33" s="51">
        <v>8.4332996626143686</v>
      </c>
      <c r="L33" s="51">
        <v>7.626662916941048</v>
      </c>
      <c r="M33" s="51">
        <f t="shared" si="1"/>
        <v>0.67333708305895268</v>
      </c>
      <c r="N33" s="55">
        <f>IF(Table1[[#This Row],[mudeli järgi tegelik SGK võimsus, MW]]="","",ABS(M33/J33))</f>
        <v>8.1124949766138876E-2</v>
      </c>
      <c r="O33" s="19">
        <v>778.9</v>
      </c>
      <c r="P33" s="19">
        <f>ROUND(VLOOKUP(Table1[[#This Row],[kaugkütte return, °C]],vee_tihedus,2,1)*Table1[[#This Row],[vee kulu SGK, m3/h]]/3600,2)</f>
        <v>214.41</v>
      </c>
      <c r="Q33" s="19">
        <v>51</v>
      </c>
      <c r="R33" s="57">
        <f>Table1[[#This Row],[SGK võimsus, MW]]/(Table1[[#This Row],[jaama võimsus, MW]]+Table1[[#This Row],[SGK võimsus, MW]])</f>
        <v>0.15566391597899473</v>
      </c>
      <c r="Y33" s="55"/>
    </row>
    <row r="34" spans="2:25" x14ac:dyDescent="0.25">
      <c r="B34" s="19">
        <f>IF(Table1[[#This Row],[kuupäev]]="","",WEEKDAY(Table1[[#This Row],[kuupäev]]))</f>
        <v>3</v>
      </c>
      <c r="C34" s="56">
        <v>43802</v>
      </c>
      <c r="D34" s="19">
        <v>45.42</v>
      </c>
      <c r="E34" s="19">
        <v>163.19999999999999</v>
      </c>
      <c r="F34" s="19">
        <v>43.4</v>
      </c>
      <c r="G34" s="19">
        <v>44</v>
      </c>
      <c r="H34" s="19">
        <f>IF(Table1[[#This Row],[peale SGK gaasid, °C]]="","",Table1[[#This Row],[peale SGK gaasid, °C]]-Table1[[#This Row],[kaugkütte return, °C]])</f>
        <v>-0.60000000000000142</v>
      </c>
      <c r="I34" s="71">
        <f t="shared" si="0"/>
        <v>0.38195238095238082</v>
      </c>
      <c r="J34" s="19">
        <v>7.9</v>
      </c>
      <c r="K34" s="51">
        <v>8.1801091373976877</v>
      </c>
      <c r="L34" s="51">
        <v>7.6543432134441751</v>
      </c>
      <c r="M34" s="51">
        <f t="shared" si="1"/>
        <v>0.24565678655582524</v>
      </c>
      <c r="N34" s="55">
        <f>IF(Table1[[#This Row],[mudeli järgi tegelik SGK võimsus, MW]]="","",ABS(M34/J34))</f>
        <v>3.1095795766560155E-2</v>
      </c>
      <c r="O34" s="19">
        <v>793.1</v>
      </c>
      <c r="P34" s="19">
        <f>ROUND(VLOOKUP(Table1[[#This Row],[kaugkütte return, °C]],vee_tihedus,2,1)*Table1[[#This Row],[vee kulu SGK, m3/h]]/3600,2)</f>
        <v>218.1</v>
      </c>
      <c r="Q34" s="19">
        <v>51</v>
      </c>
      <c r="R34" s="57">
        <f>Table1[[#This Row],[SGK võimsus, MW]]/(Table1[[#This Row],[jaama võimsus, MW]]+Table1[[#This Row],[SGK võimsus, MW]])</f>
        <v>0.14816204051012755</v>
      </c>
      <c r="Y34" s="21"/>
    </row>
    <row r="35" spans="2:25" x14ac:dyDescent="0.25">
      <c r="B35" s="19">
        <f>IF(Table1[[#This Row],[kuupäev]]="","",WEEKDAY(Table1[[#This Row],[kuupäev]]))</f>
        <v>3</v>
      </c>
      <c r="C35" s="56">
        <v>43802</v>
      </c>
      <c r="D35" s="19">
        <v>45.18</v>
      </c>
      <c r="E35" s="19">
        <v>163.19999999999999</v>
      </c>
      <c r="F35" s="19">
        <v>44.4</v>
      </c>
      <c r="G35" s="19">
        <v>45</v>
      </c>
      <c r="H35" s="19">
        <f>IF(Table1[[#This Row],[peale SGK gaasid, °C]]="","",Table1[[#This Row],[peale SGK gaasid, °C]]-Table1[[#This Row],[kaugkütte return, °C]])</f>
        <v>-0.60000000000000142</v>
      </c>
      <c r="I35" s="71">
        <f t="shared" si="0"/>
        <v>0.38195238095238082</v>
      </c>
      <c r="J35" s="19">
        <v>7.3</v>
      </c>
      <c r="K35" s="51">
        <v>7.9622417479272984</v>
      </c>
      <c r="L35" s="51">
        <v>7.6168155282491838</v>
      </c>
      <c r="M35" s="51">
        <f t="shared" si="1"/>
        <v>0.31681552824918402</v>
      </c>
      <c r="N35" s="55">
        <f>IF(Table1[[#This Row],[mudeli järgi tegelik SGK võimsus, MW]]="","",ABS(M35/J35))</f>
        <v>4.339938743139507E-2</v>
      </c>
      <c r="O35" s="19">
        <v>777.9</v>
      </c>
      <c r="P35" s="19">
        <f>ROUND(VLOOKUP(Table1[[#This Row],[kaugkütte return, °C]],vee_tihedus,2,1)*Table1[[#This Row],[vee kulu SGK, m3/h]]/3600,2)</f>
        <v>213.92</v>
      </c>
      <c r="Q35" s="19">
        <v>52</v>
      </c>
      <c r="R35" s="57">
        <f>Table1[[#This Row],[SGK võimsus, MW]]/(Table1[[#This Row],[jaama võimsus, MW]]+Table1[[#This Row],[SGK võimsus, MW]])</f>
        <v>0.13910060975609756</v>
      </c>
      <c r="Y35" s="21"/>
    </row>
    <row r="36" spans="2:25" x14ac:dyDescent="0.25">
      <c r="B36" s="19">
        <f>IF(Table1[[#This Row],[kuupäev]]="","",WEEKDAY(Table1[[#This Row],[kuupäev]]))</f>
        <v>4</v>
      </c>
      <c r="C36" s="56">
        <v>43803</v>
      </c>
      <c r="D36" s="19">
        <v>44.78</v>
      </c>
      <c r="E36" s="19">
        <v>163.19999999999999</v>
      </c>
      <c r="F36" s="19">
        <v>43.4</v>
      </c>
      <c r="G36" s="19">
        <v>43</v>
      </c>
      <c r="H36" s="19">
        <f>IF(Table1[[#This Row],[peale SGK gaasid, °C]]="","",Table1[[#This Row],[peale SGK gaasid, °C]]-Table1[[#This Row],[kaugkütte return, °C]])</f>
        <v>0.39999999999999858</v>
      </c>
      <c r="I36" s="71">
        <f t="shared" si="0"/>
        <v>0.40263157894736845</v>
      </c>
      <c r="J36" s="19">
        <v>7.6</v>
      </c>
      <c r="K36" s="51">
        <v>8.6849337437519143</v>
      </c>
      <c r="L36" s="51">
        <v>8.108181509614429</v>
      </c>
      <c r="M36" s="51">
        <f t="shared" si="1"/>
        <v>0.50818150961442932</v>
      </c>
      <c r="N36" s="55">
        <f>IF(Table1[[#This Row],[mudeli järgi tegelik SGK võimsus, MW]]="","",ABS(M36/J36))</f>
        <v>6.6865988107161753E-2</v>
      </c>
      <c r="O36" s="19">
        <v>776.8</v>
      </c>
      <c r="P36" s="19">
        <f>ROUND(VLOOKUP(Table1[[#This Row],[kaugkütte return, °C]],vee_tihedus,2,1)*Table1[[#This Row],[vee kulu SGK, m3/h]]/3600,2)</f>
        <v>213.84</v>
      </c>
      <c r="Q36" s="19">
        <v>51</v>
      </c>
      <c r="R36" s="57">
        <f>Table1[[#This Row],[SGK võimsus, MW]]/(Table1[[#This Row],[jaama võimsus, MW]]+Table1[[#This Row],[SGK võimsus, MW]])</f>
        <v>0.14509354715540282</v>
      </c>
      <c r="Y36" s="55"/>
    </row>
    <row r="37" spans="2:25" x14ac:dyDescent="0.25">
      <c r="B37" s="19">
        <f>IF(Table1[[#This Row],[kuupäev]]="","",WEEKDAY(Table1[[#This Row],[kuupäev]]))</f>
        <v>4</v>
      </c>
      <c r="C37" s="56">
        <v>43803</v>
      </c>
      <c r="D37" s="19">
        <v>45.58</v>
      </c>
      <c r="E37" s="19">
        <v>164.1</v>
      </c>
      <c r="F37" s="19">
        <v>43.4</v>
      </c>
      <c r="G37" s="19">
        <v>43</v>
      </c>
      <c r="H37" s="19">
        <f>IF(Table1[[#This Row],[peale SGK gaasid, °C]]="","",Table1[[#This Row],[peale SGK gaasid, °C]]-Table1[[#This Row],[kaugkütte return, °C]])</f>
        <v>0.39999999999999858</v>
      </c>
      <c r="I37" s="71">
        <f t="shared" si="0"/>
        <v>0.40263157894736845</v>
      </c>
      <c r="J37" s="19">
        <v>8.1999999999999993</v>
      </c>
      <c r="K37" s="51">
        <v>8.8629673285110933</v>
      </c>
      <c r="L37" s="51">
        <v>8.2013395103023345</v>
      </c>
      <c r="M37" s="51">
        <f t="shared" si="1"/>
        <v>1.3395103023352561E-3</v>
      </c>
      <c r="N37" s="55">
        <f>IF(Table1[[#This Row],[mudeli järgi tegelik SGK võimsus, MW]]="","",ABS(M37/J37))</f>
        <v>1.6335491491893369E-4</v>
      </c>
      <c r="O37" s="19">
        <v>780.5</v>
      </c>
      <c r="P37" s="19">
        <f>ROUND(VLOOKUP(Table1[[#This Row],[kaugkütte return, °C]],vee_tihedus,2,1)*Table1[[#This Row],[vee kulu SGK, m3/h]]/3600,2)</f>
        <v>214.85</v>
      </c>
      <c r="Q37" s="19">
        <v>52</v>
      </c>
      <c r="R37" s="57">
        <f>Table1[[#This Row],[SGK võimsus, MW]]/(Table1[[#This Row],[jaama võimsus, MW]]+Table1[[#This Row],[SGK võimsus, MW]])</f>
        <v>0.15247303830420228</v>
      </c>
      <c r="Y37" s="21"/>
    </row>
    <row r="38" spans="2:25" x14ac:dyDescent="0.25">
      <c r="B38" s="19">
        <f>IF(Table1[[#This Row],[kuupäev]]="","",WEEKDAY(Table1[[#This Row],[kuupäev]]))</f>
        <v>4</v>
      </c>
      <c r="C38" s="56">
        <v>43803</v>
      </c>
      <c r="D38" s="19">
        <v>41.49</v>
      </c>
      <c r="E38" s="19">
        <v>160.1</v>
      </c>
      <c r="F38" s="19">
        <v>41.4</v>
      </c>
      <c r="G38" s="19">
        <v>41</v>
      </c>
      <c r="H38" s="19">
        <f>IF(Table1[[#This Row],[peale SGK gaasid, °C]]="","",Table1[[#This Row],[peale SGK gaasid, °C]]-Table1[[#This Row],[kaugkütte return, °C]])</f>
        <v>0.39999999999999858</v>
      </c>
      <c r="I38" s="71">
        <f t="shared" si="0"/>
        <v>0.40263157894736845</v>
      </c>
      <c r="J38" s="19">
        <v>8.1</v>
      </c>
      <c r="K38" s="51">
        <v>8.289860711421273</v>
      </c>
      <c r="L38" s="51">
        <v>7.7975937359623968</v>
      </c>
      <c r="M38" s="51">
        <f t="shared" si="1"/>
        <v>0.30240626403760285</v>
      </c>
      <c r="N38" s="55">
        <f>IF(Table1[[#This Row],[mudeli järgi tegelik SGK võimsus, MW]]="","",ABS(M38/J38))</f>
        <v>3.7334106671308993E-2</v>
      </c>
      <c r="O38" s="19">
        <v>712.2</v>
      </c>
      <c r="P38" s="19">
        <f>ROUND(VLOOKUP(Table1[[#This Row],[kaugkütte return, °C]],vee_tihedus,2,1)*Table1[[#This Row],[vee kulu SGK, m3/h]]/3600,2)</f>
        <v>196.25</v>
      </c>
      <c r="Q38" s="19">
        <v>51</v>
      </c>
      <c r="R38" s="57">
        <f>Table1[[#This Row],[SGK võimsus, MW]]/(Table1[[#This Row],[jaama võimsus, MW]]+Table1[[#This Row],[SGK võimsus, MW]])</f>
        <v>0.16333938294010888</v>
      </c>
      <c r="Y38" s="21"/>
    </row>
    <row r="39" spans="2:25" x14ac:dyDescent="0.25">
      <c r="B39" s="19">
        <f>IF(Table1[[#This Row],[kuupäev]]="","",WEEKDAY(Table1[[#This Row],[kuupäev]]))</f>
        <v>4</v>
      </c>
      <c r="C39" s="56">
        <v>43803</v>
      </c>
      <c r="D39" s="19">
        <v>46.16</v>
      </c>
      <c r="E39" s="19">
        <v>164.1</v>
      </c>
      <c r="F39" s="19">
        <v>42.4</v>
      </c>
      <c r="G39" s="19">
        <v>42</v>
      </c>
      <c r="H39" s="19">
        <f>IF(Table1[[#This Row],[peale SGK gaasid, °C]]="","",Table1[[#This Row],[peale SGK gaasid, °C]]-Table1[[#This Row],[kaugkütte return, °C]])</f>
        <v>0.39999999999999858</v>
      </c>
      <c r="I39" s="71">
        <f t="shared" si="0"/>
        <v>0.40263157894736845</v>
      </c>
      <c r="J39" s="19">
        <v>8.6999999999999993</v>
      </c>
      <c r="K39" s="51">
        <v>9.1628076471194913</v>
      </c>
      <c r="L39" s="51">
        <v>8.2548692814860907</v>
      </c>
      <c r="M39" s="51">
        <f t="shared" si="1"/>
        <v>0.44513071851390862</v>
      </c>
      <c r="N39" s="55">
        <f>IF(Table1[[#This Row],[mudeli järgi tegelik SGK võimsus, MW]]="","",ABS(M39/J39))</f>
        <v>5.1164450403897548E-2</v>
      </c>
      <c r="O39" s="19">
        <v>753</v>
      </c>
      <c r="P39" s="19">
        <f>ROUND(VLOOKUP(Table1[[#This Row],[kaugkütte return, °C]],vee_tihedus,2,1)*Table1[[#This Row],[vee kulu SGK, m3/h]]/3600,2)</f>
        <v>207.28</v>
      </c>
      <c r="Q39" s="19">
        <v>51</v>
      </c>
      <c r="R39" s="57">
        <f>Table1[[#This Row],[SGK võimsus, MW]]/(Table1[[#This Row],[jaama võimsus, MW]]+Table1[[#This Row],[SGK võimsus, MW]])</f>
        <v>0.15858549033904484</v>
      </c>
      <c r="Y39" s="55"/>
    </row>
    <row r="40" spans="2:25" x14ac:dyDescent="0.25">
      <c r="B40" s="19">
        <f>IF(Table1[[#This Row],[kuupäev]]="","",WEEKDAY(Table1[[#This Row],[kuupäev]]))</f>
        <v>4</v>
      </c>
      <c r="C40" s="56">
        <v>43803</v>
      </c>
      <c r="D40" s="19">
        <v>45.56</v>
      </c>
      <c r="E40" s="19">
        <v>162.19999999999999</v>
      </c>
      <c r="F40" s="19">
        <v>41.4</v>
      </c>
      <c r="G40" s="19">
        <v>41</v>
      </c>
      <c r="H40" s="19">
        <f>IF(Table1[[#This Row],[peale SGK gaasid, °C]]="","",Table1[[#This Row],[peale SGK gaasid, °C]]-Table1[[#This Row],[kaugkütte return, °C]])</f>
        <v>0.39999999999999858</v>
      </c>
      <c r="I40" s="71">
        <f t="shared" si="0"/>
        <v>0.40263157894736845</v>
      </c>
      <c r="J40" s="19">
        <v>7.8</v>
      </c>
      <c r="K40" s="51">
        <v>9.1564166949497192</v>
      </c>
      <c r="L40" s="51">
        <v>8.138303785667107</v>
      </c>
      <c r="M40" s="51">
        <f t="shared" si="1"/>
        <v>0.33830378566710717</v>
      </c>
      <c r="N40" s="55">
        <f>IF(Table1[[#This Row],[mudeli järgi tegelik SGK võimsus, MW]]="","",ABS(M40/J40))</f>
        <v>4.3372280213731691E-2</v>
      </c>
      <c r="O40" s="19">
        <v>703</v>
      </c>
      <c r="P40" s="19">
        <f>ROUND(VLOOKUP(Table1[[#This Row],[kaugkütte return, °C]],vee_tihedus,2,1)*Table1[[#This Row],[vee kulu SGK, m3/h]]/3600,2)</f>
        <v>193.72</v>
      </c>
      <c r="Q40" s="19">
        <v>50</v>
      </c>
      <c r="R40" s="57">
        <f>Table1[[#This Row],[SGK võimsus, MW]]/(Table1[[#This Row],[jaama võimsus, MW]]+Table1[[#This Row],[SGK võimsus, MW]])</f>
        <v>0.14617691154422788</v>
      </c>
      <c r="Y40" s="21"/>
    </row>
    <row r="41" spans="2:25" x14ac:dyDescent="0.25">
      <c r="B41" s="19">
        <f>IF(Table1[[#This Row],[kuupäev]]="","",WEEKDAY(Table1[[#This Row],[kuupäev]]))</f>
        <v>5</v>
      </c>
      <c r="C41" s="56">
        <v>43804</v>
      </c>
      <c r="D41" s="19">
        <v>44.24</v>
      </c>
      <c r="E41" s="19">
        <v>162.1</v>
      </c>
      <c r="F41" s="19">
        <v>43.4</v>
      </c>
      <c r="G41" s="19">
        <v>43</v>
      </c>
      <c r="H41" s="19">
        <f>IF(Table1[[#This Row],[peale SGK gaasid, °C]]="","",Table1[[#This Row],[peale SGK gaasid, °C]]-Table1[[#This Row],[kaugkütte return, °C]])</f>
        <v>0.39999999999999858</v>
      </c>
      <c r="I41" s="71">
        <f t="shared" si="0"/>
        <v>0.42086666666666667</v>
      </c>
      <c r="J41" s="19">
        <v>7.8</v>
      </c>
      <c r="K41" s="51">
        <v>9.0296869321024893</v>
      </c>
      <c r="L41" s="51">
        <v>8.5141537947326782</v>
      </c>
      <c r="M41" s="51">
        <f t="shared" si="1"/>
        <v>0.71415379473267837</v>
      </c>
      <c r="N41" s="55">
        <f>IF(Table1[[#This Row],[mudeli järgi tegelik SGK võimsus, MW]]="","",ABS(M41/J41))</f>
        <v>9.1558178811881843E-2</v>
      </c>
      <c r="O41" s="19">
        <v>717.7</v>
      </c>
      <c r="P41" s="19">
        <f>ROUND(VLOOKUP(Table1[[#This Row],[kaugkütte return, °C]],vee_tihedus,2,1)*Table1[[#This Row],[vee kulu SGK, m3/h]]/3600,2)</f>
        <v>197.57</v>
      </c>
      <c r="Q41" s="19">
        <v>52</v>
      </c>
      <c r="R41" s="57">
        <f>Table1[[#This Row],[SGK võimsus, MW]]/(Table1[[#This Row],[jaama võimsus, MW]]+Table1[[#This Row],[SGK võimsus, MW]])</f>
        <v>0.1498847040737894</v>
      </c>
      <c r="Y41" s="55"/>
    </row>
    <row r="42" spans="2:25" x14ac:dyDescent="0.25">
      <c r="B42" s="19">
        <f>IF(Table1[[#This Row],[kuupäev]]="","",WEEKDAY(Table1[[#This Row],[kuupäev]]))</f>
        <v>5</v>
      </c>
      <c r="C42" s="56">
        <v>43804</v>
      </c>
      <c r="D42" s="19">
        <v>45.16</v>
      </c>
      <c r="E42" s="19">
        <v>162.19999999999999</v>
      </c>
      <c r="F42" s="19">
        <v>42.4</v>
      </c>
      <c r="G42" s="19">
        <v>42</v>
      </c>
      <c r="H42" s="19">
        <f>IF(Table1[[#This Row],[peale SGK gaasid, °C]]="","",Table1[[#This Row],[peale SGK gaasid, °C]]-Table1[[#This Row],[kaugkütte return, °C]])</f>
        <v>0.39999999999999858</v>
      </c>
      <c r="I42" s="71">
        <f t="shared" si="0"/>
        <v>0.42086666666666667</v>
      </c>
      <c r="J42" s="19">
        <v>8</v>
      </c>
      <c r="K42" s="51">
        <v>9.2174652317755061</v>
      </c>
      <c r="L42" s="51">
        <v>8.5940759298302556</v>
      </c>
      <c r="M42" s="51">
        <f t="shared" si="1"/>
        <v>0.59407592983025559</v>
      </c>
      <c r="N42" s="55">
        <f>IF(Table1[[#This Row],[mudeli järgi tegelik SGK võimsus, MW]]="","",ABS(M42/J42))</f>
        <v>7.4259491228781949E-2</v>
      </c>
      <c r="O42" s="19">
        <v>716.7</v>
      </c>
      <c r="P42" s="19">
        <f>ROUND(VLOOKUP(Table1[[#This Row],[kaugkütte return, °C]],vee_tihedus,2,1)*Table1[[#This Row],[vee kulu SGK, m3/h]]/3600,2)</f>
        <v>197.29</v>
      </c>
      <c r="Q42" s="19">
        <v>50</v>
      </c>
      <c r="R42" s="57">
        <f>Table1[[#This Row],[SGK võimsus, MW]]/(Table1[[#This Row],[jaama võimsus, MW]]+Table1[[#This Row],[SGK võimsus, MW]])</f>
        <v>0.15048908954100829</v>
      </c>
      <c r="Y42" s="21"/>
    </row>
    <row r="43" spans="2:25" x14ac:dyDescent="0.25">
      <c r="B43" s="19">
        <f>IF(Table1[[#This Row],[kuupäev]]="","",WEEKDAY(Table1[[#This Row],[kuupäev]]))</f>
        <v>5</v>
      </c>
      <c r="C43" s="56">
        <v>43804</v>
      </c>
      <c r="D43" s="19">
        <v>43.84</v>
      </c>
      <c r="E43" s="19">
        <v>164.2</v>
      </c>
      <c r="F43" s="19">
        <v>46.9</v>
      </c>
      <c r="G43" s="19">
        <v>41</v>
      </c>
      <c r="H43" s="19">
        <f>IF(Table1[[#This Row],[peale SGK gaasid, °C]]="","",Table1[[#This Row],[peale SGK gaasid, °C]]-Table1[[#This Row],[kaugkütte return, °C]])</f>
        <v>5.8999999999999986</v>
      </c>
      <c r="I43" s="71">
        <f t="shared" si="0"/>
        <v>0.42086666666666667</v>
      </c>
      <c r="J43" s="19">
        <v>8</v>
      </c>
      <c r="K43" s="51">
        <v>9.1234830135296594</v>
      </c>
      <c r="L43" s="51">
        <v>8.6451833048991986</v>
      </c>
      <c r="M43" s="51">
        <f t="shared" si="1"/>
        <v>0.64518330489919862</v>
      </c>
      <c r="N43" s="55">
        <f>IF(Table1[[#This Row],[mudeli järgi tegelik SGK võimsus, MW]]="","",ABS(M43/J43))</f>
        <v>8.0647913112399827E-2</v>
      </c>
      <c r="O43" s="19">
        <v>727.1</v>
      </c>
      <c r="P43" s="19">
        <f>ROUND(VLOOKUP(Table1[[#This Row],[kaugkütte return, °C]],vee_tihedus,2,1)*Table1[[#This Row],[vee kulu SGK, m3/h]]/3600,2)</f>
        <v>200.36</v>
      </c>
      <c r="Q43" s="19">
        <v>50</v>
      </c>
      <c r="R43" s="57">
        <f>Table1[[#This Row],[SGK võimsus, MW]]/(Table1[[#This Row],[jaama võimsus, MW]]+Table1[[#This Row],[SGK võimsus, MW]])</f>
        <v>0.15432098765432098</v>
      </c>
      <c r="Y43" s="21"/>
    </row>
    <row r="44" spans="2:25" x14ac:dyDescent="0.25">
      <c r="B44" s="19">
        <f>IF(Table1[[#This Row],[kuupäev]]="","",WEEKDAY(Table1[[#This Row],[kuupäev]]))</f>
        <v>5</v>
      </c>
      <c r="C44" s="56">
        <v>43804</v>
      </c>
      <c r="D44" s="19">
        <v>44.66</v>
      </c>
      <c r="E44" s="19">
        <v>163.19999999999999</v>
      </c>
      <c r="F44" s="19">
        <v>42.4</v>
      </c>
      <c r="G44" s="19">
        <v>42</v>
      </c>
      <c r="H44" s="19">
        <f>IF(Table1[[#This Row],[peale SGK gaasid, °C]]="","",Table1[[#This Row],[peale SGK gaasid, °C]]-Table1[[#This Row],[kaugkütte return, °C]])</f>
        <v>0.39999999999999858</v>
      </c>
      <c r="I44" s="71">
        <f t="shared" si="0"/>
        <v>0.42086666666666667</v>
      </c>
      <c r="J44" s="19">
        <v>8</v>
      </c>
      <c r="K44" s="51">
        <v>9.3449504009117135</v>
      </c>
      <c r="L44" s="51">
        <v>8.6204762558872421</v>
      </c>
      <c r="M44" s="51">
        <f t="shared" si="1"/>
        <v>0.62047625588724209</v>
      </c>
      <c r="N44" s="55">
        <f>IF(Table1[[#This Row],[mudeli järgi tegelik SGK võimsus, MW]]="","",ABS(M44/J44))</f>
        <v>7.7559531985905261E-2</v>
      </c>
      <c r="O44" s="19">
        <v>721.2</v>
      </c>
      <c r="P44" s="19">
        <f>ROUND(VLOOKUP(Table1[[#This Row],[kaugkütte return, °C]],vee_tihedus,2,1)*Table1[[#This Row],[vee kulu SGK, m3/h]]/3600,2)</f>
        <v>198.53</v>
      </c>
      <c r="Q44" s="19">
        <v>51</v>
      </c>
      <c r="R44" s="57">
        <f>Table1[[#This Row],[SGK võimsus, MW]]/(Table1[[#This Row],[jaama võimsus, MW]]+Table1[[#This Row],[SGK võimsus, MW]])</f>
        <v>0.1519179642992784</v>
      </c>
      <c r="Y44" s="55"/>
    </row>
    <row r="45" spans="2:25" x14ac:dyDescent="0.25">
      <c r="B45" s="19">
        <f>IF(Table1[[#This Row],[kuupäev]]="","",WEEKDAY(Table1[[#This Row],[kuupäev]]))</f>
        <v>4</v>
      </c>
      <c r="C45" s="56">
        <v>43831</v>
      </c>
      <c r="D45" s="21">
        <v>45.5</v>
      </c>
      <c r="E45" s="142">
        <v>153</v>
      </c>
      <c r="F45" s="19">
        <v>43.4</v>
      </c>
      <c r="G45" s="85">
        <v>42.4</v>
      </c>
      <c r="H45" s="29">
        <f>IF(Table1[[#This Row],[peale SGK gaasid, °C]]="","",Table1[[#This Row],[peale SGK gaasid, °C]]-Table1[[#This Row],[kaugkütte return, °C]])</f>
        <v>1</v>
      </c>
      <c r="I45" s="71">
        <v>0.41399999999999998</v>
      </c>
      <c r="J45" s="19">
        <v>8.9</v>
      </c>
      <c r="K45" s="51">
        <v>8.986484821604332</v>
      </c>
      <c r="L45" s="51">
        <v>7.8669655923667303</v>
      </c>
      <c r="M45" s="51">
        <f t="shared" si="1"/>
        <v>1.03303440763327</v>
      </c>
      <c r="N45" s="55">
        <f>IF(Table1[[#This Row],[mudeli järgi tegelik SGK võimsus, MW]]="","",ABS(M45/J45))</f>
        <v>0.11607128175654718</v>
      </c>
      <c r="O45" s="19">
        <v>817</v>
      </c>
      <c r="P45" s="29">
        <f>ROUND(VLOOKUP(Table1[[#This Row],[kaugkütte return, °C]],vee_tihedus,2,1)*Table1[[#This Row],[vee kulu SGK, m3/h]]/3600,2)</f>
        <v>224.9</v>
      </c>
      <c r="Q45" s="19">
        <v>52.3</v>
      </c>
      <c r="R45" s="57">
        <f>Table1[[#This Row],[SGK võimsus, MW]]/(Table1[[#This Row],[jaama võimsus, MW]]+Table1[[#This Row],[SGK võimsus, MW]])</f>
        <v>0.16360294117647059</v>
      </c>
      <c r="Y45" s="55"/>
    </row>
    <row r="46" spans="2:25" x14ac:dyDescent="0.25">
      <c r="B46" s="19">
        <f>IF(Table1[[#This Row],[kuupäev]]="","",WEEKDAY(Table1[[#This Row],[kuupäev]]))</f>
        <v>2</v>
      </c>
      <c r="C46" s="56">
        <v>43836</v>
      </c>
      <c r="D46" s="21">
        <v>45.3</v>
      </c>
      <c r="E46" s="142">
        <v>152</v>
      </c>
      <c r="F46" s="19">
        <v>47.2</v>
      </c>
      <c r="G46" s="85">
        <v>45.6</v>
      </c>
      <c r="H46" s="29">
        <f>IF(Table1[[#This Row],[peale SGK gaasid, °C]]="","",Table1[[#This Row],[peale SGK gaasid, °C]]-Table1[[#This Row],[kaugkütte return, °C]])</f>
        <v>1.6000000000000014</v>
      </c>
      <c r="I46" s="71">
        <v>0.42700000000000005</v>
      </c>
      <c r="J46" s="19">
        <v>7.91</v>
      </c>
      <c r="K46" s="51">
        <v>8.6333953838187885</v>
      </c>
      <c r="L46" s="51">
        <v>8.1499551127137728</v>
      </c>
      <c r="M46" s="51">
        <f t="shared" si="1"/>
        <v>0.23995511271377268</v>
      </c>
      <c r="N46" s="55">
        <f>IF(Table1[[#This Row],[mudeli järgi tegelik SGK võimsus, MW]]="","",ABS(M46/J46))</f>
        <v>3.0335665324117911E-2</v>
      </c>
      <c r="O46" s="19">
        <v>798</v>
      </c>
      <c r="P46" s="29">
        <f>ROUND(VLOOKUP(Table1[[#This Row],[kaugkütte return, °C]],vee_tihedus,2,1)*Table1[[#This Row],[vee kulu SGK, m3/h]]/3600,2)</f>
        <v>219.45</v>
      </c>
      <c r="Q46" s="19">
        <v>54.2</v>
      </c>
      <c r="R46" s="57">
        <f>Table1[[#This Row],[SGK võimsus, MW]]/(Table1[[#This Row],[jaama võimsus, MW]]+Table1[[#This Row],[SGK võimsus, MW]])</f>
        <v>0.14865626761886866</v>
      </c>
      <c r="W46" s="19" t="s">
        <v>112</v>
      </c>
      <c r="X46" s="19" t="s">
        <v>113</v>
      </c>
      <c r="Y46" s="55"/>
    </row>
    <row r="47" spans="2:25" x14ac:dyDescent="0.25">
      <c r="B47" s="19">
        <f>IF(Table1[[#This Row],[kuupäev]]="","",WEEKDAY(Table1[[#This Row],[kuupäev]]))</f>
        <v>2</v>
      </c>
      <c r="C47" s="56">
        <v>43836</v>
      </c>
      <c r="D47" s="21">
        <v>46.3</v>
      </c>
      <c r="E47" s="142">
        <v>154</v>
      </c>
      <c r="F47" s="19">
        <v>47.2</v>
      </c>
      <c r="G47" s="85">
        <v>46.6</v>
      </c>
      <c r="H47" s="29">
        <f>IF(Table1[[#This Row],[peale SGK gaasid, °C]]="","",Table1[[#This Row],[peale SGK gaasid, °C]]-Table1[[#This Row],[kaugkütte return, °C]])</f>
        <v>0.60000000000000142</v>
      </c>
      <c r="I47" s="71">
        <v>0.42700000000000005</v>
      </c>
      <c r="J47" s="19">
        <v>7.71</v>
      </c>
      <c r="K47" s="51">
        <v>8.6517016760379732</v>
      </c>
      <c r="L47" s="51">
        <v>8.25893354915355</v>
      </c>
      <c r="M47" s="51">
        <f t="shared" si="1"/>
        <v>0.54893354915355008</v>
      </c>
      <c r="N47" s="55">
        <f>IF(Table1[[#This Row],[mudeli järgi tegelik SGK võimsus, MW]]="","",ABS(M47/J47))</f>
        <v>7.1197606894105064E-2</v>
      </c>
      <c r="O47" s="19">
        <v>802</v>
      </c>
      <c r="P47" s="29">
        <f>ROUND(VLOOKUP(Table1[[#This Row],[kaugkütte return, °C]],vee_tihedus,2,1)*Table1[[#This Row],[vee kulu SGK, m3/h]]/3600,2)</f>
        <v>220.33</v>
      </c>
      <c r="Q47" s="19">
        <v>54.2</v>
      </c>
      <c r="R47" s="57">
        <f>Table1[[#This Row],[SGK võimsus, MW]]/(Table1[[#This Row],[jaama võimsus, MW]]+Table1[[#This Row],[SGK võimsus, MW]])</f>
        <v>0.14275134234401038</v>
      </c>
      <c r="W47" s="56">
        <v>43711</v>
      </c>
      <c r="X47" s="21">
        <v>33.466666666666669</v>
      </c>
      <c r="Y47" s="55"/>
    </row>
    <row r="48" spans="2:25" x14ac:dyDescent="0.25">
      <c r="B48" s="19">
        <f>IF(Table1[[#This Row],[kuupäev]]="","",WEEKDAY(Table1[[#This Row],[kuupäev]]))</f>
        <v>3</v>
      </c>
      <c r="C48" s="56">
        <v>43837</v>
      </c>
      <c r="D48" s="21">
        <v>45.6</v>
      </c>
      <c r="E48" s="142">
        <v>153</v>
      </c>
      <c r="F48" s="19">
        <v>44.2</v>
      </c>
      <c r="G48" s="85">
        <v>43.6</v>
      </c>
      <c r="H48" s="29">
        <f>IF(Table1[[#This Row],[peale SGK gaasid, °C]]="","",Table1[[#This Row],[peale SGK gaasid, °C]]-Table1[[#This Row],[kaugkütte return, °C]])</f>
        <v>0.60000000000000142</v>
      </c>
      <c r="I48" s="71">
        <v>0.44</v>
      </c>
      <c r="J48" s="19">
        <v>8.4</v>
      </c>
      <c r="K48" s="51">
        <v>9.3621096190818687</v>
      </c>
      <c r="L48" s="51">
        <v>8.5638714049288218</v>
      </c>
      <c r="M48" s="51">
        <f t="shared" si="1"/>
        <v>0.16387140492882146</v>
      </c>
      <c r="N48" s="55">
        <f>IF(Table1[[#This Row],[mudeli järgi tegelik SGK võimsus, MW]]="","",ABS(M48/J48))</f>
        <v>1.9508500586764458E-2</v>
      </c>
      <c r="O48" s="19">
        <v>811</v>
      </c>
      <c r="P48" s="29">
        <f>ROUND(VLOOKUP(Table1[[#This Row],[kaugkütte return, °C]],vee_tihedus,2,1)*Table1[[#This Row],[vee kulu SGK, m3/h]]/3600,2)</f>
        <v>223.25</v>
      </c>
      <c r="Q48" s="19">
        <v>53.2</v>
      </c>
      <c r="R48" s="57">
        <f>Table1[[#This Row],[SGK võimsus, MW]]/(Table1[[#This Row],[jaama võimsus, MW]]+Table1[[#This Row],[SGK võimsus, MW]])</f>
        <v>0.15555555555555556</v>
      </c>
      <c r="W48" s="56">
        <v>43712</v>
      </c>
      <c r="X48" s="21">
        <v>30.345454545454547</v>
      </c>
      <c r="Y48" s="55"/>
    </row>
    <row r="49" spans="2:25" x14ac:dyDescent="0.25">
      <c r="B49" s="19">
        <f>IF(Table1[[#This Row],[kuupäev]]="","",WEEKDAY(Table1[[#This Row],[kuupäev]]))</f>
        <v>4</v>
      </c>
      <c r="C49" s="56">
        <v>43838</v>
      </c>
      <c r="D49" s="21">
        <v>45.6</v>
      </c>
      <c r="E49" s="142">
        <v>151</v>
      </c>
      <c r="F49" s="19">
        <v>42.4</v>
      </c>
      <c r="G49" s="85">
        <v>41.4</v>
      </c>
      <c r="H49" s="29">
        <f>IF(Table1[[#This Row],[peale SGK gaasid, °C]]="","",Table1[[#This Row],[peale SGK gaasid, °C]]-Table1[[#This Row],[kaugkütte return, °C]])</f>
        <v>1</v>
      </c>
      <c r="I49" s="71">
        <v>0.44</v>
      </c>
      <c r="J49" s="19">
        <v>9.26</v>
      </c>
      <c r="K49" s="51">
        <v>9.8454606479526348</v>
      </c>
      <c r="L49" s="51">
        <v>8.5232197826178719</v>
      </c>
      <c r="M49" s="51">
        <f t="shared" si="1"/>
        <v>0.73678021738212784</v>
      </c>
      <c r="N49" s="55">
        <f>IF(Table1[[#This Row],[mudeli järgi tegelik SGK võimsus, MW]]="","",ABS(M49/J49))</f>
        <v>7.9565898205413377E-2</v>
      </c>
      <c r="O49" s="19">
        <v>806</v>
      </c>
      <c r="P49" s="29">
        <f>ROUND(VLOOKUP(Table1[[#This Row],[kaugkütte return, °C]],vee_tihedus,2,1)*Table1[[#This Row],[vee kulu SGK, m3/h]]/3600,2)</f>
        <v>222.1</v>
      </c>
      <c r="Q49" s="19">
        <v>51.3</v>
      </c>
      <c r="R49" s="57">
        <f>Table1[[#This Row],[SGK võimsus, MW]]/(Table1[[#This Row],[jaama võimsus, MW]]+Table1[[#This Row],[SGK võimsus, MW]])</f>
        <v>0.16879329201604082</v>
      </c>
      <c r="W49" s="56">
        <v>43713</v>
      </c>
      <c r="X49" s="21">
        <v>29.299999999999997</v>
      </c>
      <c r="Y49" s="55"/>
    </row>
    <row r="50" spans="2:25" x14ac:dyDescent="0.25">
      <c r="B50" s="19">
        <f>IF(Table1[[#This Row],[kuupäev]]="","",WEEKDAY(Table1[[#This Row],[kuupäev]]))</f>
        <v>2</v>
      </c>
      <c r="C50" s="56">
        <v>43843</v>
      </c>
      <c r="D50" s="21">
        <v>45.2</v>
      </c>
      <c r="E50" s="142">
        <v>153</v>
      </c>
      <c r="F50" s="19">
        <v>48.4</v>
      </c>
      <c r="G50" s="85">
        <v>46.4</v>
      </c>
      <c r="H50" s="29">
        <f>IF(Table1[[#This Row],[peale SGK gaasid, °C]]="","",Table1[[#This Row],[peale SGK gaasid, °C]]-Table1[[#This Row],[kaugkütte return, °C]])</f>
        <v>2</v>
      </c>
      <c r="I50" s="71">
        <v>0.434</v>
      </c>
      <c r="J50" s="19">
        <v>8.8000000000000007</v>
      </c>
      <c r="K50" s="51">
        <v>8.640294867042968</v>
      </c>
      <c r="L50" s="51">
        <v>8.2045760874963989</v>
      </c>
      <c r="M50" s="51">
        <f t="shared" si="1"/>
        <v>0.59542391250360183</v>
      </c>
      <c r="N50" s="55">
        <f>IF(Table1[[#This Row],[mudeli järgi tegelik SGK võimsus, MW]]="","",ABS(M50/J50))</f>
        <v>6.7661808239045662E-2</v>
      </c>
      <c r="O50" s="19">
        <v>817</v>
      </c>
      <c r="P50" s="29">
        <f>ROUND(VLOOKUP(Table1[[#This Row],[kaugkütte return, °C]],vee_tihedus,2,1)*Table1[[#This Row],[vee kulu SGK, m3/h]]/3600,2)</f>
        <v>224.45</v>
      </c>
      <c r="Q50" s="19">
        <v>56.3</v>
      </c>
      <c r="R50" s="57">
        <f>Table1[[#This Row],[SGK võimsus, MW]]/(Table1[[#This Row],[jaama võimsus, MW]]+Table1[[#This Row],[SGK võimsus, MW]])</f>
        <v>0.16296296296296298</v>
      </c>
      <c r="W50" s="56">
        <v>43714</v>
      </c>
      <c r="X50" s="21">
        <v>29.022222222222222</v>
      </c>
      <c r="Y50" s="55"/>
    </row>
    <row r="51" spans="2:25" x14ac:dyDescent="0.25">
      <c r="B51" s="19">
        <f>IF(Table1[[#This Row],[kuupäev]]="","",WEEKDAY(Table1[[#This Row],[kuupäev]]))</f>
        <v>2</v>
      </c>
      <c r="C51" s="56">
        <v>43843</v>
      </c>
      <c r="D51" s="21">
        <v>46.1</v>
      </c>
      <c r="E51" s="142">
        <v>155</v>
      </c>
      <c r="F51" s="19">
        <v>45.4</v>
      </c>
      <c r="G51" s="85">
        <v>44.6</v>
      </c>
      <c r="H51" s="29">
        <f>IF(Table1[[#This Row],[peale SGK gaasid, °C]]="","",Table1[[#This Row],[peale SGK gaasid, °C]]-Table1[[#This Row],[kaugkütte return, °C]])</f>
        <v>0.79999999999999716</v>
      </c>
      <c r="I51" s="71">
        <v>0.42599999999999999</v>
      </c>
      <c r="J51" s="19">
        <v>8.3000000000000007</v>
      </c>
      <c r="K51" s="51">
        <v>9.0663208638435773</v>
      </c>
      <c r="L51" s="51">
        <v>8.3981986261369652</v>
      </c>
      <c r="M51" s="51">
        <f t="shared" si="1"/>
        <v>9.8198626136964506E-2</v>
      </c>
      <c r="N51" s="55">
        <f>IF(Table1[[#This Row],[mudeli järgi tegelik SGK võimsus, MW]]="","",ABS(M51/J51))</f>
        <v>1.1831159775537892E-2</v>
      </c>
      <c r="O51" s="19">
        <v>810</v>
      </c>
      <c r="P51" s="29">
        <f>ROUND(VLOOKUP(Table1[[#This Row],[kaugkütte return, °C]],vee_tihedus,2,1)*Table1[[#This Row],[vee kulu SGK, m3/h]]/3600,2)</f>
        <v>222.75</v>
      </c>
      <c r="Q51" s="19">
        <v>54.3</v>
      </c>
      <c r="R51" s="57">
        <f>Table1[[#This Row],[SGK võimsus, MW]]/(Table1[[#This Row],[jaama võimsus, MW]]+Table1[[#This Row],[SGK võimsus, MW]])</f>
        <v>0.15257352941176469</v>
      </c>
      <c r="W51" s="56">
        <v>43715</v>
      </c>
      <c r="X51" s="21">
        <v>29.022222222222222</v>
      </c>
      <c r="Y51" s="55"/>
    </row>
    <row r="52" spans="2:25" x14ac:dyDescent="0.25">
      <c r="B52" s="19">
        <f>IF(Table1[[#This Row],[kuupäev]]="","",WEEKDAY(Table1[[#This Row],[kuupäev]]))</f>
        <v>4</v>
      </c>
      <c r="C52" s="56">
        <v>43845</v>
      </c>
      <c r="D52" s="21">
        <v>45.7</v>
      </c>
      <c r="E52" s="142">
        <v>152</v>
      </c>
      <c r="F52" s="19">
        <v>44.4</v>
      </c>
      <c r="G52" s="85">
        <v>42.4</v>
      </c>
      <c r="H52" s="29">
        <f>IF(Table1[[#This Row],[peale SGK gaasid, °C]]="","",Table1[[#This Row],[peale SGK gaasid, °C]]-Table1[[#This Row],[kaugkütte return, °C]])</f>
        <v>2</v>
      </c>
      <c r="I52" s="71">
        <v>0.43799999999999994</v>
      </c>
      <c r="J52" s="19">
        <v>9.26</v>
      </c>
      <c r="K52" s="51">
        <v>9.7318177546405096</v>
      </c>
      <c r="L52" s="51">
        <v>8.5675835806639995</v>
      </c>
      <c r="M52" s="51">
        <f t="shared" si="1"/>
        <v>0.69241641933600029</v>
      </c>
      <c r="N52" s="55">
        <f>IF(Table1[[#This Row],[mudeli järgi tegelik SGK võimsus, MW]]="","",ABS(M52/J52))</f>
        <v>7.4774991288984918E-2</v>
      </c>
      <c r="O52" s="19">
        <v>811</v>
      </c>
      <c r="P52" s="29">
        <f>ROUND(VLOOKUP(Table1[[#This Row],[kaugkütte return, °C]],vee_tihedus,2,1)*Table1[[#This Row],[vee kulu SGK, m3/h]]/3600,2)</f>
        <v>223.25</v>
      </c>
      <c r="Q52" s="19">
        <v>53.3</v>
      </c>
      <c r="R52" s="57">
        <f>Table1[[#This Row],[SGK võimsus, MW]]/(Table1[[#This Row],[jaama võimsus, MW]]+Table1[[#This Row],[SGK võimsus, MW]])</f>
        <v>0.16848617176128092</v>
      </c>
      <c r="W52" s="56">
        <v>43716</v>
      </c>
      <c r="X52" s="21">
        <v>29.022222222222222</v>
      </c>
      <c r="Y52" s="55"/>
    </row>
    <row r="53" spans="2:25" x14ac:dyDescent="0.25">
      <c r="B53" s="19">
        <f>IF(Table1[[#This Row],[kuupäev]]="","",WEEKDAY(Table1[[#This Row],[kuupäev]]))</f>
        <v>6</v>
      </c>
      <c r="C53" s="56">
        <v>43847</v>
      </c>
      <c r="D53" s="21">
        <v>41.7</v>
      </c>
      <c r="E53" s="142">
        <v>154</v>
      </c>
      <c r="F53" s="19">
        <v>42.9</v>
      </c>
      <c r="G53" s="85">
        <v>41.5</v>
      </c>
      <c r="H53" s="29">
        <f>IF(Table1[[#This Row],[peale SGK gaasid, °C]]="","",Table1[[#This Row],[peale SGK gaasid, °C]]-Table1[[#This Row],[kaugkütte return, °C]])</f>
        <v>1.3999999999999986</v>
      </c>
      <c r="I53" s="71">
        <v>0.42899999999999999</v>
      </c>
      <c r="J53" s="19">
        <v>8.2899999999999991</v>
      </c>
      <c r="K53" s="51">
        <v>8.677962731790462</v>
      </c>
      <c r="L53" s="51">
        <v>8.179614600317306</v>
      </c>
      <c r="M53" s="51">
        <f t="shared" si="1"/>
        <v>0.11038539968269312</v>
      </c>
      <c r="N53" s="55">
        <f>IF(Table1[[#This Row],[mudeli järgi tegelik SGK võimsus, MW]]="","",ABS(M53/J53))</f>
        <v>1.3315488502134274E-2</v>
      </c>
      <c r="O53" s="19">
        <v>818</v>
      </c>
      <c r="P53" s="29">
        <f>ROUND(VLOOKUP(Table1[[#This Row],[kaugkütte return, °C]],vee_tihedus,2,1)*Table1[[#This Row],[vee kulu SGK, m3/h]]/3600,2)</f>
        <v>225.4</v>
      </c>
      <c r="Q53" s="19">
        <v>51.3</v>
      </c>
      <c r="R53" s="57">
        <f>Table1[[#This Row],[SGK võimsus, MW]]/(Table1[[#This Row],[jaama võimsus, MW]]+Table1[[#This Row],[SGK võimsus, MW]])</f>
        <v>0.16583316663332665</v>
      </c>
      <c r="W53" s="56">
        <v>43717</v>
      </c>
      <c r="X53" s="21">
        <v>29.022222222222222</v>
      </c>
      <c r="Y53" s="55"/>
    </row>
    <row r="54" spans="2:25" x14ac:dyDescent="0.25">
      <c r="B54" s="19">
        <f>IF(Table1[[#This Row],[kuupäev]]="","",WEEKDAY(Table1[[#This Row],[kuupäev]]))</f>
        <v>2</v>
      </c>
      <c r="C54" s="56">
        <v>43850</v>
      </c>
      <c r="D54" s="21">
        <v>43.5</v>
      </c>
      <c r="E54" s="142">
        <v>155</v>
      </c>
      <c r="F54" s="19">
        <v>42.9</v>
      </c>
      <c r="G54" s="85">
        <v>42.5</v>
      </c>
      <c r="H54" s="29">
        <f>IF(Table1[[#This Row],[peale SGK gaasid, °C]]="","",Table1[[#This Row],[peale SGK gaasid, °C]]-Table1[[#This Row],[kaugkütte return, °C]])</f>
        <v>0.39999999999999858</v>
      </c>
      <c r="I54" s="71">
        <v>0.434</v>
      </c>
      <c r="J54" s="19">
        <v>8.6199999999999992</v>
      </c>
      <c r="K54" s="51">
        <v>8.904598977361891</v>
      </c>
      <c r="L54" s="51">
        <v>8.3264862466142588</v>
      </c>
      <c r="M54" s="51">
        <f t="shared" si="1"/>
        <v>0.29351375338574037</v>
      </c>
      <c r="N54" s="55">
        <f>IF(Table1[[#This Row],[mudeli järgi tegelik SGK võimsus, MW]]="","",ABS(M54/J54))</f>
        <v>3.4050319418299349E-2</v>
      </c>
      <c r="O54" s="19">
        <v>796</v>
      </c>
      <c r="P54" s="29">
        <f>ROUND(VLOOKUP(Table1[[#This Row],[kaugkütte return, °C]],vee_tihedus,2,1)*Table1[[#This Row],[vee kulu SGK, m3/h]]/3600,2)</f>
        <v>219.12</v>
      </c>
      <c r="Q54" s="19">
        <v>51.2</v>
      </c>
      <c r="R54" s="57">
        <f>Table1[[#This Row],[SGK võimsus, MW]]/(Table1[[#This Row],[jaama võimsus, MW]]+Table1[[#This Row],[SGK võimsus, MW]])</f>
        <v>0.16538756715272449</v>
      </c>
      <c r="W54" s="56">
        <v>43718</v>
      </c>
      <c r="X54" s="21">
        <v>29.022222222222222</v>
      </c>
      <c r="Y54" s="55"/>
    </row>
    <row r="55" spans="2:25" x14ac:dyDescent="0.25">
      <c r="B55" s="19">
        <f>IF(Table1[[#This Row],[kuupäev]]="","",WEEKDAY(Table1[[#This Row],[kuupäev]]))</f>
        <v>2</v>
      </c>
      <c r="C55" s="56">
        <v>43850</v>
      </c>
      <c r="D55" s="21">
        <v>43.4</v>
      </c>
      <c r="E55" s="142">
        <v>155</v>
      </c>
      <c r="F55" s="19">
        <v>45.9</v>
      </c>
      <c r="G55" s="85">
        <v>45.6</v>
      </c>
      <c r="H55" s="29">
        <f>IF(Table1[[#This Row],[peale SGK gaasid, °C]]="","",Table1[[#This Row],[peale SGK gaasid, °C]]-Table1[[#This Row],[kaugkütte return, °C]])</f>
        <v>0.29999999999999716</v>
      </c>
      <c r="I55" s="71">
        <v>0.434</v>
      </c>
      <c r="J55" s="19">
        <v>9.2100000000000009</v>
      </c>
      <c r="K55" s="51">
        <v>8.3481238306032246</v>
      </c>
      <c r="L55" s="51">
        <v>8.2002915344959462</v>
      </c>
      <c r="M55" s="51">
        <f t="shared" si="1"/>
        <v>1.0097084655040547</v>
      </c>
      <c r="N55" s="55">
        <f>IF(Table1[[#This Row],[mudeli järgi tegelik SGK võimsus, MW]]="","",ABS(M55/J55))</f>
        <v>0.10963175521216663</v>
      </c>
      <c r="O55" s="19">
        <v>814</v>
      </c>
      <c r="P55" s="29">
        <f>ROUND(VLOOKUP(Table1[[#This Row],[kaugkütte return, °C]],vee_tihedus,2,1)*Table1[[#This Row],[vee kulu SGK, m3/h]]/3600,2)</f>
        <v>223.85</v>
      </c>
      <c r="Q55" s="19">
        <v>54.3</v>
      </c>
      <c r="R55" s="57">
        <f>Table1[[#This Row],[SGK võimsus, MW]]/(Table1[[#This Row],[jaama võimsus, MW]]+Table1[[#This Row],[SGK võimsus, MW]])</f>
        <v>0.17506177532788444</v>
      </c>
      <c r="W55" s="56">
        <v>43719</v>
      </c>
      <c r="X55" s="21">
        <v>29.022222222222222</v>
      </c>
      <c r="Y55" s="55"/>
    </row>
    <row r="56" spans="2:25" x14ac:dyDescent="0.25">
      <c r="B56" s="19">
        <f>IF(Table1[[#This Row],[kuupäev]]="","",WEEKDAY(Table1[[#This Row],[kuupäev]]))</f>
        <v>2</v>
      </c>
      <c r="C56" s="56">
        <v>43850</v>
      </c>
      <c r="D56" s="21">
        <v>45.3</v>
      </c>
      <c r="E56" s="142">
        <v>152</v>
      </c>
      <c r="F56" s="19">
        <v>43.9</v>
      </c>
      <c r="G56" s="85">
        <v>43.4</v>
      </c>
      <c r="H56" s="29">
        <f>IF(Table1[[#This Row],[peale SGK gaasid, °C]]="","",Table1[[#This Row],[peale SGK gaasid, °C]]-Table1[[#This Row],[kaugkütte return, °C]])</f>
        <v>0.5</v>
      </c>
      <c r="I56" s="71">
        <v>0.434</v>
      </c>
      <c r="J56" s="19">
        <v>9.83</v>
      </c>
      <c r="K56" s="51">
        <v>9.2730651419423822</v>
      </c>
      <c r="L56" s="51">
        <v>8.254241665490353</v>
      </c>
      <c r="M56" s="51">
        <f t="shared" si="1"/>
        <v>1.5757583345096471</v>
      </c>
      <c r="N56" s="55">
        <f>IF(Table1[[#This Row],[mudeli järgi tegelik SGK võimsus, MW]]="","",ABS(M56/J56))</f>
        <v>0.1603009495940638</v>
      </c>
      <c r="O56" s="19">
        <v>795</v>
      </c>
      <c r="P56" s="29">
        <f>ROUND(VLOOKUP(Table1[[#This Row],[kaugkütte return, °C]],vee_tihedus,2,1)*Table1[[#This Row],[vee kulu SGK, m3/h]]/3600,2)</f>
        <v>218.85</v>
      </c>
      <c r="Q56" s="19">
        <v>53.2</v>
      </c>
      <c r="R56" s="57">
        <f>Table1[[#This Row],[SGK võimsus, MW]]/(Table1[[#This Row],[jaama võimsus, MW]]+Table1[[#This Row],[SGK võimsus, MW]])</f>
        <v>0.17830582260112463</v>
      </c>
      <c r="W56" s="56">
        <v>43720</v>
      </c>
      <c r="X56" s="21">
        <v>36.37777777777778</v>
      </c>
      <c r="Y56" s="55"/>
    </row>
    <row r="57" spans="2:25" x14ac:dyDescent="0.25">
      <c r="B57" s="19">
        <f>IF(Table1[[#This Row],[kuupäev]]="","",WEEKDAY(Table1[[#This Row],[kuupäev]]))</f>
        <v>2</v>
      </c>
      <c r="C57" s="56">
        <v>43850</v>
      </c>
      <c r="D57" s="21">
        <v>42.7</v>
      </c>
      <c r="E57" s="142">
        <v>152</v>
      </c>
      <c r="F57" s="19">
        <v>43.9</v>
      </c>
      <c r="G57" s="85">
        <v>42.5</v>
      </c>
      <c r="H57" s="29">
        <f>IF(Table1[[#This Row],[peale SGK gaasid, °C]]="","",Table1[[#This Row],[peale SGK gaasid, °C]]-Table1[[#This Row],[kaugkütte return, °C]])</f>
        <v>1.3999999999999986</v>
      </c>
      <c r="I57" s="71">
        <v>0.439</v>
      </c>
      <c r="J57" s="19">
        <v>8</v>
      </c>
      <c r="K57" s="51">
        <v>8.9176978334200179</v>
      </c>
      <c r="L57" s="51">
        <v>8.3596090165256207</v>
      </c>
      <c r="M57" s="51">
        <f t="shared" si="1"/>
        <v>0.35960901652562072</v>
      </c>
      <c r="N57" s="55">
        <f>IF(Table1[[#This Row],[mudeli järgi tegelik SGK võimsus, MW]]="","",ABS(M57/J57))</f>
        <v>4.495112706570259E-2</v>
      </c>
      <c r="O57" s="19">
        <v>805</v>
      </c>
      <c r="P57" s="29">
        <f>ROUND(VLOOKUP(Table1[[#This Row],[kaugkütte return, °C]],vee_tihedus,2,1)*Table1[[#This Row],[vee kulu SGK, m3/h]]/3600,2)</f>
        <v>221.6</v>
      </c>
      <c r="Q57" s="19">
        <v>52.3</v>
      </c>
      <c r="R57" s="57">
        <f>Table1[[#This Row],[SGK võimsus, MW]]/(Table1[[#This Row],[jaama võimsus, MW]]+Table1[[#This Row],[SGK võimsus, MW]])</f>
        <v>0.15779092702169625</v>
      </c>
      <c r="W57" s="56">
        <v>43721</v>
      </c>
      <c r="X57" s="21">
        <v>37.222222222222221</v>
      </c>
      <c r="Y57" s="55"/>
    </row>
    <row r="58" spans="2:25" x14ac:dyDescent="0.25">
      <c r="B58" s="19">
        <f>IF(Table1[[#This Row],[kuupäev]]="","",WEEKDAY(Table1[[#This Row],[kuupäev]]))</f>
        <v>4</v>
      </c>
      <c r="C58" s="56">
        <v>43866</v>
      </c>
      <c r="D58" s="21">
        <v>40.9</v>
      </c>
      <c r="E58" s="142">
        <v>160</v>
      </c>
      <c r="F58" s="19">
        <v>48.9</v>
      </c>
      <c r="G58" s="85">
        <v>48.3</v>
      </c>
      <c r="H58" s="29">
        <f>IF(Table1[[#This Row],[peale SGK gaasid, °C]]="","",Table1[[#This Row],[peale SGK gaasid, °C]]-Table1[[#This Row],[kaugkütte return, °C]])</f>
        <v>0.60000000000000142</v>
      </c>
      <c r="I58" s="71">
        <v>0.44500000000000001</v>
      </c>
      <c r="J58" s="19">
        <v>7.94</v>
      </c>
      <c r="K58" s="51">
        <v>8.083738547954054</v>
      </c>
      <c r="L58" s="51">
        <v>8.083738547954054</v>
      </c>
      <c r="M58" s="51">
        <f t="shared" si="1"/>
        <v>0.14373854795405361</v>
      </c>
      <c r="N58" s="55">
        <f>IF(Table1[[#This Row],[mudeli järgi tegelik SGK võimsus, MW]]="","",ABS(M58/J58))</f>
        <v>1.8103091681870732E-2</v>
      </c>
      <c r="O58" s="19">
        <v>803</v>
      </c>
      <c r="P58" s="29">
        <f>ROUND(VLOOKUP(Table1[[#This Row],[kaugkütte return, °C]],vee_tihedus,2,1)*Table1[[#This Row],[vee kulu SGK, m3/h]]/3600,2)</f>
        <v>220.6</v>
      </c>
      <c r="Q58" s="19">
        <v>56.8</v>
      </c>
      <c r="R58" s="57">
        <f>Table1[[#This Row],[SGK võimsus, MW]]/(Table1[[#This Row],[jaama võimsus, MW]]+Table1[[#This Row],[SGK võimsus, MW]])</f>
        <v>0.16257166257166258</v>
      </c>
      <c r="W58" s="56">
        <v>43722</v>
      </c>
      <c r="X58" s="21">
        <v>29.916666666666668</v>
      </c>
      <c r="Y58" s="55"/>
    </row>
    <row r="59" spans="2:25" x14ac:dyDescent="0.25">
      <c r="B59" s="19">
        <f>IF(Table1[[#This Row],[kuupäev]]="","",WEEKDAY(Table1[[#This Row],[kuupäev]]))</f>
        <v>4</v>
      </c>
      <c r="C59" s="56">
        <v>43866</v>
      </c>
      <c r="D59" s="21">
        <v>45.16</v>
      </c>
      <c r="E59" s="142">
        <v>160</v>
      </c>
      <c r="F59" s="19">
        <v>47.9</v>
      </c>
      <c r="G59" s="85">
        <v>47.2</v>
      </c>
      <c r="H59" s="29">
        <f>IF(Table1[[#This Row],[peale SGK gaasid, °C]]="","",Table1[[#This Row],[peale SGK gaasid, °C]]-Table1[[#This Row],[kaugkütte return, °C]])</f>
        <v>0.69999999999999574</v>
      </c>
      <c r="I59" s="71">
        <v>0.44500000000000001</v>
      </c>
      <c r="J59" s="19">
        <v>8.5299999999999994</v>
      </c>
      <c r="K59" s="51">
        <v>9.1427550831987929</v>
      </c>
      <c r="L59" s="51">
        <v>9.1279926831919589</v>
      </c>
      <c r="M59" s="51">
        <f t="shared" si="1"/>
        <v>0.59799268319195953</v>
      </c>
      <c r="N59" s="55">
        <f>IF(Table1[[#This Row],[mudeli järgi tegelik SGK võimsus, MW]]="","",ABS(M59/J59))</f>
        <v>7.0104652191319991E-2</v>
      </c>
      <c r="O59" s="19">
        <v>813</v>
      </c>
      <c r="P59" s="29">
        <f>ROUND(VLOOKUP(Table1[[#This Row],[kaugkütte return, °C]],vee_tihedus,2,1)*Table1[[#This Row],[vee kulu SGK, m3/h]]/3600,2)</f>
        <v>223.35</v>
      </c>
      <c r="Q59" s="19">
        <v>56.8</v>
      </c>
      <c r="R59" s="57">
        <f>Table1[[#This Row],[SGK võimsus, MW]]/(Table1[[#This Row],[jaama võimsus, MW]]+Table1[[#This Row],[SGK võimsus, MW]])</f>
        <v>0.15887502328180295</v>
      </c>
      <c r="W59" s="56">
        <v>43723</v>
      </c>
      <c r="X59" s="21">
        <v>29.916666666666668</v>
      </c>
      <c r="Y59" s="55"/>
    </row>
    <row r="60" spans="2:25" x14ac:dyDescent="0.25">
      <c r="B60" s="19">
        <f>IF(Table1[[#This Row],[kuupäev]]="","",WEEKDAY(Table1[[#This Row],[kuupäev]]))</f>
        <v>6</v>
      </c>
      <c r="C60" s="56">
        <v>43868</v>
      </c>
      <c r="D60" s="21">
        <v>46.5</v>
      </c>
      <c r="E60" s="142">
        <v>162</v>
      </c>
      <c r="F60" s="19">
        <v>48.9</v>
      </c>
      <c r="G60" s="85">
        <v>48.3</v>
      </c>
      <c r="H60" s="29">
        <f>IF(Table1[[#This Row],[peale SGK gaasid, °C]]="","",Table1[[#This Row],[peale SGK gaasid, °C]]-Table1[[#This Row],[kaugkütte return, °C]])</f>
        <v>0.60000000000000142</v>
      </c>
      <c r="I60" s="71">
        <v>0.42200000000000004</v>
      </c>
      <c r="J60" s="19">
        <v>8.1199999999999992</v>
      </c>
      <c r="K60" s="51">
        <v>8.4684468240390114</v>
      </c>
      <c r="L60" s="51">
        <v>8.4601412866092414</v>
      </c>
      <c r="M60" s="51">
        <f t="shared" si="1"/>
        <v>0.34014128660924214</v>
      </c>
      <c r="N60" s="55">
        <f>IF(Table1[[#This Row],[mudeli järgi tegelik SGK võimsus, MW]]="","",ABS(M60/J60))</f>
        <v>4.1889321010990417E-2</v>
      </c>
      <c r="O60" s="19">
        <v>798</v>
      </c>
      <c r="P60" s="29">
        <f>ROUND(VLOOKUP(Table1[[#This Row],[kaugkütte return, °C]],vee_tihedus,2,1)*Table1[[#This Row],[vee kulu SGK, m3/h]]/3600,2)</f>
        <v>219.23</v>
      </c>
      <c r="Q60" s="19">
        <v>56.8</v>
      </c>
      <c r="R60" s="57">
        <f>Table1[[#This Row],[SGK võimsus, MW]]/(Table1[[#This Row],[jaama võimsus, MW]]+Table1[[#This Row],[SGK võimsus, MW]])</f>
        <v>0.14866349322592456</v>
      </c>
      <c r="W60" s="56">
        <v>43724</v>
      </c>
      <c r="X60" s="21">
        <v>29.916666666666668</v>
      </c>
      <c r="Y60" s="55"/>
    </row>
    <row r="61" spans="2:25" x14ac:dyDescent="0.25">
      <c r="B61" s="19">
        <f>IF(Table1[[#This Row],[kuupäev]]="","",WEEKDAY(Table1[[#This Row],[kuupäev]]))</f>
        <v>2</v>
      </c>
      <c r="C61" s="56">
        <v>43906</v>
      </c>
      <c r="D61" s="21">
        <v>44.5</v>
      </c>
      <c r="E61" s="142">
        <v>162</v>
      </c>
      <c r="F61" s="19">
        <v>49.9</v>
      </c>
      <c r="G61" s="85">
        <v>48.6</v>
      </c>
      <c r="H61" s="29">
        <f>IF(Table1[[#This Row],[peale SGK gaasid, °C]]="","",Table1[[#This Row],[peale SGK gaasid, °C]]-Table1[[#This Row],[kaugkütte return, °C]])</f>
        <v>1.2999999999999972</v>
      </c>
      <c r="I61" s="71">
        <v>0.441</v>
      </c>
      <c r="J61" s="19">
        <v>8</v>
      </c>
      <c r="K61" s="51">
        <v>8.3302939294392644</v>
      </c>
      <c r="L61" s="51">
        <v>8.3302939294392644</v>
      </c>
      <c r="M61" s="51">
        <f t="shared" si="1"/>
        <v>0.33029392943926439</v>
      </c>
      <c r="N61" s="55">
        <f>IF(Table1[[#This Row],[mudeli järgi tegelik SGK võimsus, MW]]="","",ABS(M61/J61))</f>
        <v>4.1286741179908049E-2</v>
      </c>
      <c r="O61" s="19">
        <v>806</v>
      </c>
      <c r="P61" s="29">
        <f>ROUND(VLOOKUP(Table1[[#This Row],[kaugkütte return, °C]],vee_tihedus,2,1)*Table1[[#This Row],[vee kulu SGK, m3/h]]/3600,2)</f>
        <v>221.43</v>
      </c>
      <c r="Q61" s="19">
        <v>57</v>
      </c>
      <c r="R61" s="57">
        <f>Table1[[#This Row],[SGK võimsus, MW]]/(Table1[[#This Row],[jaama võimsus, MW]]+Table1[[#This Row],[SGK võimsus, MW]])</f>
        <v>0.15238095238095239</v>
      </c>
      <c r="W61" s="56">
        <v>43725</v>
      </c>
      <c r="X61" s="21">
        <v>41.475000000000009</v>
      </c>
      <c r="Y61" s="55"/>
    </row>
    <row r="62" spans="2:25" x14ac:dyDescent="0.25">
      <c r="B62" s="19">
        <f>IF(Table1[[#This Row],[kuupäev]]="","",WEEKDAY(Table1[[#This Row],[kuupäev]]))</f>
        <v>2</v>
      </c>
      <c r="C62" s="56">
        <v>43913</v>
      </c>
      <c r="D62" s="21">
        <v>45.4</v>
      </c>
      <c r="E62" s="142">
        <v>162</v>
      </c>
      <c r="F62" s="19">
        <v>49.7</v>
      </c>
      <c r="G62" s="85">
        <v>48.6</v>
      </c>
      <c r="H62" s="29">
        <f>IF(Table1[[#This Row],[peale SGK gaasid, °C]]="","",Table1[[#This Row],[peale SGK gaasid, °C]]-Table1[[#This Row],[kaugkütte return, °C]])</f>
        <v>1.1000000000000014</v>
      </c>
      <c r="I62" s="71">
        <v>0.42599999999999999</v>
      </c>
      <c r="J62" s="19">
        <v>8.43</v>
      </c>
      <c r="K62" s="51">
        <v>8.2405644665018478</v>
      </c>
      <c r="L62" s="51">
        <v>8.2405644665018478</v>
      </c>
      <c r="M62" s="51">
        <f t="shared" si="1"/>
        <v>0.1894355334981519</v>
      </c>
      <c r="N62" s="55">
        <f>IF(Table1[[#This Row],[mudeli järgi tegelik SGK võimsus, MW]]="","",ABS(M62/J62))</f>
        <v>2.2471593534774841E-2</v>
      </c>
      <c r="O62" s="19">
        <v>807</v>
      </c>
      <c r="P62" s="29">
        <f>ROUND(VLOOKUP(Table1[[#This Row],[kaugkütte return, °C]],vee_tihedus,2,1)*Table1[[#This Row],[vee kulu SGK, m3/h]]/3600,2)</f>
        <v>221.7</v>
      </c>
      <c r="Q62" s="19">
        <v>58.1</v>
      </c>
      <c r="R62" s="57">
        <f>Table1[[#This Row],[SGK võimsus, MW]]/(Table1[[#This Row],[jaama võimsus, MW]]+Table1[[#This Row],[SGK võimsus, MW]])</f>
        <v>0.15660412409437116</v>
      </c>
      <c r="W62" s="56">
        <v>43726</v>
      </c>
      <c r="X62" s="21">
        <v>40.850000000000009</v>
      </c>
      <c r="Y62" s="55"/>
    </row>
    <row r="63" spans="2:25" x14ac:dyDescent="0.25">
      <c r="B63" s="19">
        <f>IF(Table1[[#This Row],[kuupäev]]="","",WEEKDAY(Table1[[#This Row],[kuupäev]]))</f>
        <v>2</v>
      </c>
      <c r="C63" s="56">
        <v>43920</v>
      </c>
      <c r="D63" s="21">
        <v>45.2</v>
      </c>
      <c r="E63" s="142">
        <v>164</v>
      </c>
      <c r="F63" s="19">
        <v>48.2</v>
      </c>
      <c r="G63" s="85">
        <v>47.8</v>
      </c>
      <c r="H63" s="29">
        <f>IF(Table1[[#This Row],[peale SGK gaasid, °C]]="","",Table1[[#This Row],[peale SGK gaasid, °C]]-Table1[[#This Row],[kaugkütte return, °C]])</f>
        <v>0.40000000000000568</v>
      </c>
      <c r="I63" s="71">
        <v>0.441</v>
      </c>
      <c r="J63" s="19">
        <v>8.08</v>
      </c>
      <c r="K63" s="51">
        <v>8.7650148270099457</v>
      </c>
      <c r="L63" s="51">
        <v>8.7650148270099457</v>
      </c>
      <c r="M63" s="51">
        <f t="shared" si="1"/>
        <v>0.68501482700994565</v>
      </c>
      <c r="N63" s="55">
        <f>IF(Table1[[#This Row],[mudeli järgi tegelik SGK võimsus, MW]]="","",ABS(M63/J63))</f>
        <v>8.4779062748755643E-2</v>
      </c>
      <c r="O63" s="19">
        <v>810</v>
      </c>
      <c r="P63" s="29">
        <f>ROUND(VLOOKUP(Table1[[#This Row],[kaugkütte return, °C]],vee_tihedus,2,1)*Table1[[#This Row],[vee kulu SGK, m3/h]]/3600,2)</f>
        <v>222.53</v>
      </c>
      <c r="Q63" s="19">
        <v>56.1</v>
      </c>
      <c r="R63" s="57">
        <f>Table1[[#This Row],[SGK võimsus, MW]]/(Table1[[#This Row],[jaama võimsus, MW]]+Table1[[#This Row],[SGK võimsus, MW]])</f>
        <v>0.15165165165165165</v>
      </c>
      <c r="W63" s="56">
        <v>43727</v>
      </c>
      <c r="X63" s="21">
        <v>35.881818181818183</v>
      </c>
      <c r="Y63" s="55"/>
    </row>
    <row r="64" spans="2:25" x14ac:dyDescent="0.25">
      <c r="B64" s="19">
        <f>IF(Table1[[#This Row],[kuupäev]]="","",WEEKDAY(Table1[[#This Row],[kuupäev]]))</f>
        <v>3</v>
      </c>
      <c r="C64" s="56">
        <v>43921</v>
      </c>
      <c r="D64" s="21">
        <v>46.5</v>
      </c>
      <c r="E64" s="142">
        <v>164</v>
      </c>
      <c r="F64" s="19">
        <v>49.3</v>
      </c>
      <c r="G64" s="85">
        <v>48.8</v>
      </c>
      <c r="H64" s="29">
        <f>IF(Table1[[#This Row],[peale SGK gaasid, °C]]="","",Table1[[#This Row],[peale SGK gaasid, °C]]-Table1[[#This Row],[kaugkütte return, °C]])</f>
        <v>0.5</v>
      </c>
      <c r="I64" s="71">
        <v>0.43200000000000005</v>
      </c>
      <c r="J64" s="19">
        <v>8.1199999999999992</v>
      </c>
      <c r="K64" s="51">
        <v>8.493697432269764</v>
      </c>
      <c r="L64" s="51">
        <v>8.493697432269764</v>
      </c>
      <c r="M64" s="51">
        <f t="shared" si="1"/>
        <v>0.37369743226976482</v>
      </c>
      <c r="N64" s="55">
        <f>IF(Table1[[#This Row],[mudeli järgi tegelik SGK võimsus, MW]]="","",ABS(M64/J64))</f>
        <v>4.6021851264749364E-2</v>
      </c>
      <c r="O64" s="19">
        <v>810</v>
      </c>
      <c r="P64" s="29">
        <f>ROUND(VLOOKUP(Table1[[#This Row],[kaugkütte return, °C]],vee_tihedus,2,1)*Table1[[#This Row],[vee kulu SGK, m3/h]]/3600,2)</f>
        <v>222.53</v>
      </c>
      <c r="Q64" s="19">
        <v>57</v>
      </c>
      <c r="R64" s="57">
        <f>Table1[[#This Row],[SGK võimsus, MW]]/(Table1[[#This Row],[jaama võimsus, MW]]+Table1[[#This Row],[SGK võimsus, MW]])</f>
        <v>0.14866349322592456</v>
      </c>
      <c r="W64" s="56">
        <v>43728</v>
      </c>
      <c r="X64" s="21">
        <v>38.780000000000008</v>
      </c>
      <c r="Y64" s="55"/>
    </row>
    <row r="65" spans="1:25" x14ac:dyDescent="0.25">
      <c r="A65" s="19" t="s">
        <v>127</v>
      </c>
      <c r="B65" s="19">
        <f>SUM(COUNTIF(B5:B64,1),COUNTIF(B5:B64,7))</f>
        <v>0</v>
      </c>
      <c r="C65" s="56" t="s">
        <v>122</v>
      </c>
      <c r="D65" s="21">
        <f>AVERAGE(Table1[jaama võimsus, MW])</f>
        <v>44.396999999999984</v>
      </c>
      <c r="E65" s="21">
        <f>AVERAGE(Table1[sg_temp, °C])</f>
        <v>160.30833333333334</v>
      </c>
      <c r="F65" s="21">
        <f>AVERAGE(Table1[peale SGK gaasid, °C])</f>
        <v>44.393333333333366</v>
      </c>
      <c r="G65" s="21">
        <f>AVERAGE(Table1[kaugkütte return, °C])</f>
        <v>43.768333333333338</v>
      </c>
      <c r="H65" s="51">
        <f>AVERAGE(Table1[t'''' - treturn])</f>
        <v>0.62499999999999933</v>
      </c>
      <c r="I65" s="51">
        <f>AVERAGE(Table1[Niiskus %])</f>
        <v>0.40754790489061576</v>
      </c>
      <c r="J65" s="51">
        <f>AVERAGE(Table1[SGK võimsus, MW])</f>
        <v>8.0334999999999983</v>
      </c>
      <c r="K65" s="51">
        <f>AVERAGE(Table1[mudeli järgi SGK max võimsus, MW])</f>
        <v>8.4970052388888853</v>
      </c>
      <c r="L65" s="51">
        <f>AVERAGE(Table1[mudeli järgi tegelik SGK võimsus, MW])</f>
        <v>7.9840855466278189</v>
      </c>
      <c r="M65" s="51">
        <f>AVERAGE(Table1[abs erinevus])</f>
        <v>0.43099846629154032</v>
      </c>
      <c r="N65" s="57">
        <f>AVERAGE(N5:N64)</f>
        <v>5.2492504164554664E-2</v>
      </c>
      <c r="O65" s="51">
        <f>AVERAGE(Table1[vee kulu SGK, m3/h])</f>
        <v>792.40892857142876</v>
      </c>
      <c r="P65" s="51">
        <f>AVERAGE(Table1[vee kulu SGK, kg/s])</f>
        <v>218.02035714285722</v>
      </c>
      <c r="Q65" s="51">
        <f>AVERAGE(Table1[vee temp peale SGK, °C])</f>
        <v>51.666666666666679</v>
      </c>
      <c r="R65" s="69">
        <f>AVERAGE(Table1[share])</f>
        <v>0.15311821505555415</v>
      </c>
      <c r="W65" s="56">
        <v>43729</v>
      </c>
      <c r="X65" s="21">
        <v>38.780000000000008</v>
      </c>
      <c r="Y65" s="21"/>
    </row>
    <row r="66" spans="1:25" x14ac:dyDescent="0.25">
      <c r="A66" s="19" t="s">
        <v>128</v>
      </c>
      <c r="B66" s="19">
        <f>COUNTA(B5:B64)</f>
        <v>60</v>
      </c>
      <c r="C66" s="19" t="s">
        <v>123</v>
      </c>
      <c r="D66" s="51">
        <f>MEDIAN(Table1[jaama võimsus, MW])</f>
        <v>45.16</v>
      </c>
      <c r="E66" s="51">
        <f>MEDIAN(Table1[sg_temp, °C])</f>
        <v>162</v>
      </c>
      <c r="F66" s="51">
        <f>MEDIAN(Table1[peale SGK gaasid, °C])</f>
        <v>43.9</v>
      </c>
      <c r="G66" s="51">
        <f>MEDIAN(Table1[kaugkütte return, °C])</f>
        <v>43</v>
      </c>
      <c r="H66" s="51">
        <f>MEDIAN(Table1[t'''' - treturn])</f>
        <v>0.39999999999999858</v>
      </c>
      <c r="I66" s="51">
        <f>MEDIAN(Table1[Niiskus %])</f>
        <v>0.42086666666666667</v>
      </c>
      <c r="J66" s="51">
        <f>MEDIAN(Table1[SGK võimsus, MW])</f>
        <v>8</v>
      </c>
      <c r="K66" s="51">
        <f>MEDIAN(Table1[mudeli järgi SGK max võimsus, MW])</f>
        <v>8.6368451254308773</v>
      </c>
      <c r="L66" s="51">
        <f>MEDIAN(Table1[mudeli järgi tegelik SGK võimsus, MW])</f>
        <v>8.1441294491904408</v>
      </c>
      <c r="M66" s="51">
        <f>MEDIAN(Table1[abs erinevus])</f>
        <v>0.37553067585698185</v>
      </c>
      <c r="N66" s="55">
        <f>MEDIAN(Table1[suhteline erinevus])</f>
        <v>4.8669090029964474E-2</v>
      </c>
      <c r="O66" s="51">
        <f>MEDIAN(Table1[vee kulu SGK, m3/h])</f>
        <v>802.5</v>
      </c>
      <c r="P66" s="51">
        <f>MEDIAN(Table1[vee kulu SGK, kg/s])</f>
        <v>220.64499999999998</v>
      </c>
      <c r="Q66" s="51">
        <f>MEDIAN(Table1[vee temp peale SGK, °C])</f>
        <v>51</v>
      </c>
      <c r="R66" s="69">
        <f>MEDIAN(Table1[share])</f>
        <v>0.15193239145638182</v>
      </c>
      <c r="W66" s="56">
        <v>43730</v>
      </c>
      <c r="X66" s="21">
        <v>38.780000000000008</v>
      </c>
      <c r="Y66" s="21"/>
    </row>
    <row r="67" spans="1:25" x14ac:dyDescent="0.25">
      <c r="A67" s="19" t="s">
        <v>129</v>
      </c>
      <c r="B67" s="19">
        <f>B66-B65</f>
        <v>60</v>
      </c>
      <c r="C67" s="56" t="s">
        <v>121</v>
      </c>
      <c r="D67" s="51">
        <f>MAX(Table1[jaama võimsus, MW])-MIN(Table1[jaama võimsus, MW])</f>
        <v>10.219999999999999</v>
      </c>
      <c r="E67" s="51">
        <f>MAX(Table1[sg_temp, °C])-MIN(Table1[sg_temp, °C])</f>
        <v>13.300000000000011</v>
      </c>
      <c r="F67" s="51">
        <f>MAX(Table1[peale SGK gaasid, °C])-MIN(Table1[peale SGK gaasid, °C])</f>
        <v>9</v>
      </c>
      <c r="G67" s="51">
        <f>MAX(Table1[kaugkütte return, °C])-MIN(Table1[kaugkütte return, °C])</f>
        <v>8.7999999999999972</v>
      </c>
      <c r="H67" s="51">
        <f>IF(ABS(MIN(Table1[t'''' - treturn]))&gt;MAX(Table1[t'''' - treturn]),ABS(MIN(Table1[t'''' - treturn])),MAX(Table1[t'''' - treturn]))</f>
        <v>5.8999999999999986</v>
      </c>
      <c r="I67" s="51">
        <f>MAX(Table1[Niiskus %])-MIN(Table1[Niiskus %])</f>
        <v>0.16269540229885049</v>
      </c>
      <c r="J67" s="51">
        <f>MAX(Table1[SGK võimsus, MW])-MIN(Table1[SGK võimsus, MW])</f>
        <v>3.7300000000000004</v>
      </c>
      <c r="K67" s="51">
        <f>MAX(Table1[mudeli järgi SGK max võimsus, MW])-MIN(Table1[mudeli järgi SGK max võimsus, MW])</f>
        <v>4.0921570226668438</v>
      </c>
      <c r="L67" s="51">
        <f>MAX(Table1[mudeli järgi tegelik SGK võimsus, MW])-MIN(Table1[mudeli järgi tegelik SGK võimsus, MW])</f>
        <v>4.1252951286681023</v>
      </c>
      <c r="M67" s="51">
        <f>MAX(Table1[abs erinevus])-MIN(Table1[abs erinevus])</f>
        <v>1.5744188242073118</v>
      </c>
      <c r="N67" s="55">
        <f>MAX(Table1[suhteline erinevus])-MIN(Table1[suhteline erinevus])</f>
        <v>0.16013759467914487</v>
      </c>
      <c r="O67" s="51">
        <f>MAX(Table1[vee kulu SGK, m3/h])-MIN(Table1[vee kulu SGK, m3/h])</f>
        <v>193.5</v>
      </c>
      <c r="P67" s="51">
        <f>MAX(Table1[vee kulu SGK, kg/s])-MIN(Table1[vee kulu SGK, kg/s])</f>
        <v>53.319999999999993</v>
      </c>
      <c r="Q67" s="51">
        <f>MAX(Table1[vee temp peale SGK, °C])-MIN(Table1[vee temp peale SGK, °C])</f>
        <v>11.100000000000001</v>
      </c>
      <c r="R67" s="69">
        <f>MAX(Table1[share])-MIN(Table1[share])</f>
        <v>4.9911800290032227E-2</v>
      </c>
      <c r="W67" s="56">
        <v>43731</v>
      </c>
      <c r="X67" s="21">
        <v>38.780000000000008</v>
      </c>
      <c r="Y67" s="55"/>
    </row>
    <row r="68" spans="1:25" x14ac:dyDescent="0.25">
      <c r="C68" s="56"/>
      <c r="D68" s="51">
        <f>MIN(Table1[jaama võimsus, MW])</f>
        <v>37.340000000000003</v>
      </c>
      <c r="E68" s="51">
        <f>MIN(Table1[sg_temp, °C])</f>
        <v>151</v>
      </c>
      <c r="F68" s="51">
        <f>MIN(Table1[peale SGK gaasid, °C])</f>
        <v>40.9</v>
      </c>
      <c r="G68" s="51">
        <f>MIN(Table1[kaugkütte return, °C])</f>
        <v>40</v>
      </c>
      <c r="H68" s="51">
        <f>MIN(Table1[t'''' - treturn])</f>
        <v>-0.60000000000000142</v>
      </c>
      <c r="I68" s="51">
        <f>MIN(Table1[Niiskus %])</f>
        <v>0.29916666666666669</v>
      </c>
      <c r="J68" s="51">
        <f>MIN(Table1[SGK võimsus, MW])</f>
        <v>6.1</v>
      </c>
      <c r="K68" s="51">
        <f>MIN(Table1[mudeli järgi SGK max võimsus, MW])</f>
        <v>5.753303625285791</v>
      </c>
      <c r="L68" s="51">
        <f>MIN(Table1[mudeli järgi tegelik SGK võimsus, MW])</f>
        <v>5.753303625285791</v>
      </c>
      <c r="M68" s="51">
        <f>MIN(Table1[abs erinevus])</f>
        <v>1.3395103023352561E-3</v>
      </c>
      <c r="N68" s="51">
        <f>MIN(Table1[suhteline erinevus])</f>
        <v>1.6335491491893369E-4</v>
      </c>
      <c r="O68" s="51">
        <f>MIN(Table1[vee kulu SGK, m3/h])</f>
        <v>703</v>
      </c>
      <c r="P68" s="51">
        <f>MIN(Table1[vee kulu SGK, kg/s])</f>
        <v>193.72</v>
      </c>
      <c r="Q68" s="51">
        <f>MIN(Table1[vee temp peale SGK, °C])</f>
        <v>47</v>
      </c>
      <c r="R68" s="51">
        <f>MIN(Table1[share])</f>
        <v>0.1283940223110924</v>
      </c>
      <c r="W68" s="56">
        <v>43732</v>
      </c>
      <c r="X68" s="21">
        <v>36.418181818181814</v>
      </c>
      <c r="Y68" s="55"/>
    </row>
    <row r="69" spans="1:25" x14ac:dyDescent="0.25">
      <c r="C69" s="56"/>
      <c r="D69" s="51">
        <f>MAX(Table1[jaama võimsus, MW])</f>
        <v>47.56</v>
      </c>
      <c r="E69" s="51">
        <f>MAX(Table1[sg_temp, °C])</f>
        <v>164.3</v>
      </c>
      <c r="F69" s="51">
        <f>MAX(Table1[peale SGK gaasid, °C])</f>
        <v>49.9</v>
      </c>
      <c r="G69" s="51">
        <f>MAX(Table1[kaugkütte return, °C])</f>
        <v>48.8</v>
      </c>
      <c r="H69" s="51">
        <f>MAX(Table1[t'''' - treturn])</f>
        <v>5.8999999999999986</v>
      </c>
      <c r="I69" s="51">
        <f>MAX(Table1[Niiskus %])</f>
        <v>0.46186206896551718</v>
      </c>
      <c r="J69" s="51">
        <f>MAX(Table1[SGK võimsus, MW])</f>
        <v>9.83</v>
      </c>
      <c r="K69" s="51">
        <f>MAX(Table1[mudeli järgi SGK max võimsus, MW])</f>
        <v>9.8454606479526348</v>
      </c>
      <c r="L69" s="51">
        <f>MAX(Table1[mudeli järgi tegelik SGK võimsus, MW])</f>
        <v>9.8785987539538933</v>
      </c>
      <c r="M69" s="51">
        <f>MAX(Table1[abs erinevus])</f>
        <v>1.5757583345096471</v>
      </c>
      <c r="N69" s="51">
        <f>MAX(Table1[suhteline erinevus])</f>
        <v>0.1603009495940638</v>
      </c>
      <c r="O69" s="51">
        <f>MAX(Table1[vee kulu SGK, m3/h])</f>
        <v>896.5</v>
      </c>
      <c r="P69" s="51">
        <f>MAX(Table1[vee kulu SGK, kg/s])</f>
        <v>247.04</v>
      </c>
      <c r="Q69" s="51">
        <f>MAX(Table1[vee temp peale SGK, °C])</f>
        <v>58.1</v>
      </c>
      <c r="R69" s="51">
        <f>MAX(Table1[share])</f>
        <v>0.17830582260112463</v>
      </c>
      <c r="W69" s="56">
        <v>43733</v>
      </c>
      <c r="X69" s="21">
        <v>34.989999999999995</v>
      </c>
      <c r="Y69" s="55"/>
    </row>
    <row r="70" spans="1:25" x14ac:dyDescent="0.25">
      <c r="C70" s="59"/>
      <c r="D70" s="59"/>
      <c r="E70" s="140"/>
      <c r="F70" s="59"/>
      <c r="G70" s="59"/>
      <c r="H70" s="144"/>
      <c r="I70" s="144"/>
      <c r="J70" s="144"/>
      <c r="K70" s="144"/>
      <c r="L70" s="144"/>
      <c r="M70" s="59"/>
      <c r="R70" s="21"/>
      <c r="W70" s="56">
        <v>43734</v>
      </c>
      <c r="X70" s="21">
        <v>28.671428571428571</v>
      </c>
      <c r="Y70" s="21"/>
    </row>
    <row r="71" spans="1:25" x14ac:dyDescent="0.25">
      <c r="C71" s="58" t="s">
        <v>367</v>
      </c>
      <c r="D71" s="59"/>
      <c r="E71" s="60"/>
      <c r="F71" s="59"/>
      <c r="G71" s="59"/>
      <c r="H71" s="59"/>
      <c r="I71" s="59"/>
      <c r="J71" s="59"/>
      <c r="K71" s="140"/>
      <c r="L71" s="140"/>
      <c r="M71" s="59"/>
      <c r="U71" s="56"/>
      <c r="V71" s="21"/>
      <c r="W71" s="56">
        <v>43735</v>
      </c>
      <c r="X71" s="21">
        <v>30.677272727272733</v>
      </c>
      <c r="Y71" s="21"/>
    </row>
    <row r="72" spans="1:25" ht="18" x14ac:dyDescent="0.35">
      <c r="C72" s="58" t="s">
        <v>261</v>
      </c>
      <c r="D72" s="59" t="s">
        <v>368</v>
      </c>
      <c r="E72" s="60" t="s">
        <v>369</v>
      </c>
      <c r="F72" s="59"/>
      <c r="G72" s="59"/>
      <c r="H72" s="159"/>
      <c r="I72" s="159"/>
      <c r="J72" s="159"/>
      <c r="K72" s="59"/>
      <c r="L72" s="59"/>
      <c r="M72" s="59"/>
      <c r="Q72" s="21"/>
      <c r="U72" s="56"/>
      <c r="V72" s="21"/>
      <c r="W72" s="56">
        <v>43736</v>
      </c>
      <c r="X72" s="21">
        <v>30.677272727272733</v>
      </c>
      <c r="Y72" s="55"/>
    </row>
    <row r="73" spans="1:25" x14ac:dyDescent="0.25">
      <c r="C73" s="59">
        <v>46</v>
      </c>
      <c r="D73" s="59">
        <v>6.1</v>
      </c>
      <c r="E73" s="147">
        <v>5.753303625285791</v>
      </c>
      <c r="F73" s="60">
        <f>(ABS(D73-E73))/D73</f>
        <v>5.6835471264624376E-2</v>
      </c>
      <c r="G73" s="60"/>
      <c r="H73" s="150"/>
      <c r="I73" s="152"/>
      <c r="J73" s="151"/>
      <c r="K73" s="59"/>
      <c r="L73" s="59"/>
      <c r="M73" s="61"/>
      <c r="Q73" s="21"/>
      <c r="U73" s="56"/>
      <c r="V73" s="21"/>
      <c r="W73" s="56">
        <v>43737</v>
      </c>
      <c r="X73" s="21">
        <v>30.677272727272733</v>
      </c>
      <c r="Y73" s="21"/>
    </row>
    <row r="74" spans="1:25" x14ac:dyDescent="0.25">
      <c r="C74" s="59">
        <v>42</v>
      </c>
      <c r="D74" s="59">
        <v>7</v>
      </c>
      <c r="E74" s="147">
        <v>6.3582206777912553</v>
      </c>
      <c r="F74" s="60">
        <f>(ABS(D74-E74))/D74</f>
        <v>9.1682760315534947E-2</v>
      </c>
      <c r="G74" s="60"/>
      <c r="H74" s="150"/>
      <c r="I74" s="152"/>
      <c r="J74" s="151"/>
      <c r="K74" s="59"/>
      <c r="L74" s="59"/>
      <c r="M74" s="61"/>
      <c r="Q74" s="21"/>
      <c r="U74" s="56"/>
      <c r="V74" s="21"/>
      <c r="W74" s="56">
        <v>43738</v>
      </c>
      <c r="X74" s="21">
        <v>30.677272727272733</v>
      </c>
      <c r="Y74" s="21"/>
    </row>
    <row r="75" spans="1:25" x14ac:dyDescent="0.25">
      <c r="C75" s="58"/>
      <c r="D75" s="153">
        <f>AVERAGE(D73:D74)</f>
        <v>6.55</v>
      </c>
      <c r="E75" s="161">
        <f>AVERAGE(E73:E74)</f>
        <v>6.0557621515385236</v>
      </c>
      <c r="F75" s="160">
        <f>AVERAGE(F73:F74)</f>
        <v>7.4259115790079655E-2</v>
      </c>
      <c r="G75" s="148"/>
      <c r="H75" s="150"/>
      <c r="I75" s="152"/>
      <c r="J75" s="151"/>
      <c r="K75" s="59"/>
      <c r="L75" s="59"/>
      <c r="M75" s="61"/>
      <c r="Q75" s="21"/>
      <c r="U75" s="56"/>
      <c r="V75" s="21"/>
      <c r="W75" s="56">
        <v>43739</v>
      </c>
      <c r="X75" s="21">
        <v>36.700000000000003</v>
      </c>
      <c r="Y75" s="55"/>
    </row>
    <row r="76" spans="1:25" x14ac:dyDescent="0.25">
      <c r="C76" s="59"/>
      <c r="D76" s="144"/>
      <c r="E76" s="60">
        <f>ABS((D75-E75)/D75)</f>
        <v>7.5456160070454387E-2</v>
      </c>
      <c r="F76" s="61"/>
      <c r="G76" s="59"/>
      <c r="H76" s="150"/>
      <c r="I76" s="152"/>
      <c r="J76" s="151"/>
      <c r="K76" s="59"/>
      <c r="L76" s="59"/>
      <c r="M76" s="61"/>
      <c r="Q76" s="21"/>
      <c r="U76" s="56"/>
      <c r="V76" s="21"/>
      <c r="W76" s="56">
        <v>43740</v>
      </c>
      <c r="X76" s="21">
        <v>41.69166666666667</v>
      </c>
      <c r="Y76" s="21"/>
    </row>
    <row r="77" spans="1:25" x14ac:dyDescent="0.25">
      <c r="C77" s="59" t="s">
        <v>370</v>
      </c>
      <c r="D77" s="59"/>
      <c r="E77" s="140"/>
      <c r="F77" s="59"/>
      <c r="G77" s="59"/>
      <c r="H77" s="58"/>
      <c r="I77" s="59"/>
      <c r="J77" s="60"/>
      <c r="K77" s="59"/>
      <c r="L77" s="59"/>
      <c r="M77" s="61"/>
      <c r="Q77" s="21"/>
      <c r="U77" s="56"/>
      <c r="V77" s="21"/>
      <c r="W77" s="56">
        <v>43741</v>
      </c>
      <c r="X77" s="21">
        <v>37.43333333333333</v>
      </c>
      <c r="Y77" s="21"/>
    </row>
    <row r="78" spans="1:25" ht="18" x14ac:dyDescent="0.35">
      <c r="C78" s="58" t="s">
        <v>261</v>
      </c>
      <c r="D78" s="59" t="s">
        <v>368</v>
      </c>
      <c r="E78" s="60" t="s">
        <v>369</v>
      </c>
      <c r="F78" s="144"/>
      <c r="G78" s="59"/>
      <c r="H78" s="58"/>
      <c r="I78" s="59"/>
      <c r="J78" s="60"/>
      <c r="K78" s="59"/>
      <c r="L78" s="59"/>
      <c r="M78" s="61"/>
      <c r="Q78" s="21"/>
      <c r="U78" s="56"/>
      <c r="V78" s="21"/>
      <c r="W78" s="56">
        <v>43742</v>
      </c>
      <c r="X78" s="21">
        <v>34.862499999999997</v>
      </c>
      <c r="Y78" s="55"/>
    </row>
    <row r="79" spans="1:25" x14ac:dyDescent="0.25">
      <c r="C79" s="149">
        <v>40</v>
      </c>
      <c r="D79" s="59">
        <v>7.7</v>
      </c>
      <c r="E79" s="151">
        <v>7.1769228377320138</v>
      </c>
      <c r="F79" s="60">
        <f>(ABS(D79-E79))/D79</f>
        <v>6.7932098995842391E-2</v>
      </c>
      <c r="G79" s="59"/>
      <c r="H79" s="58" t="s">
        <v>372</v>
      </c>
      <c r="I79" s="59"/>
      <c r="J79" s="60"/>
      <c r="K79" s="59"/>
      <c r="L79" s="59"/>
      <c r="M79" s="61"/>
      <c r="Q79" s="21"/>
      <c r="U79" s="56"/>
      <c r="V79" s="21"/>
      <c r="W79" s="56">
        <v>43743</v>
      </c>
      <c r="X79" s="21">
        <v>34.799999999999997</v>
      </c>
      <c r="Y79" s="21"/>
    </row>
    <row r="80" spans="1:25" ht="18" x14ac:dyDescent="0.35">
      <c r="C80" s="149">
        <v>41</v>
      </c>
      <c r="D80" s="59">
        <v>7.9</v>
      </c>
      <c r="E80" s="151">
        <v>7.5993058553856976</v>
      </c>
      <c r="F80" s="60">
        <f t="shared" ref="F80:F99" si="2">(ABS(D80-E80))/D80</f>
        <v>3.8062549951177561E-2</v>
      </c>
      <c r="G80" s="59"/>
      <c r="H80" s="58" t="s">
        <v>373</v>
      </c>
      <c r="I80" s="59" t="s">
        <v>368</v>
      </c>
      <c r="J80" s="60" t="s">
        <v>369</v>
      </c>
      <c r="K80" s="59"/>
      <c r="L80" s="59"/>
      <c r="M80" s="61"/>
      <c r="W80" s="56">
        <v>43744</v>
      </c>
      <c r="X80" s="21">
        <v>34.799999999999997</v>
      </c>
      <c r="Y80" s="21"/>
    </row>
    <row r="81" spans="3:25" x14ac:dyDescent="0.25">
      <c r="C81" s="149">
        <v>42</v>
      </c>
      <c r="D81" s="59">
        <v>7.1</v>
      </c>
      <c r="E81" s="151">
        <v>7.1047976841697302</v>
      </c>
      <c r="F81" s="60">
        <f t="shared" si="2"/>
        <v>6.7573016475078694E-4</v>
      </c>
      <c r="H81" s="21">
        <v>0.34989999999999993</v>
      </c>
      <c r="I81" s="19">
        <v>7.7</v>
      </c>
      <c r="J81" s="51">
        <v>7.1769228377320138</v>
      </c>
      <c r="K81" s="60">
        <f>(ABS(I81-J81))/I81</f>
        <v>6.7932098995842391E-2</v>
      </c>
      <c r="M81" s="51"/>
      <c r="Q81" s="143"/>
      <c r="R81" s="143"/>
      <c r="W81" s="56">
        <v>43745</v>
      </c>
      <c r="X81" s="21">
        <v>34.799999999999997</v>
      </c>
      <c r="Y81" s="55"/>
    </row>
    <row r="82" spans="3:25" x14ac:dyDescent="0.25">
      <c r="C82" s="149">
        <v>43</v>
      </c>
      <c r="D82" s="59">
        <v>7</v>
      </c>
      <c r="E82" s="151">
        <v>7.0909440121268066</v>
      </c>
      <c r="F82" s="60">
        <f t="shared" si="2"/>
        <v>1.299200173240094E-2</v>
      </c>
      <c r="G82" s="155"/>
      <c r="H82" s="21">
        <v>0.3743333333333333</v>
      </c>
      <c r="I82" s="19">
        <v>7.9</v>
      </c>
      <c r="J82" s="51">
        <v>7.5993058553856976</v>
      </c>
      <c r="K82" s="60">
        <f t="shared" ref="K82:K89" si="3">(ABS(I82-J82))/I82</f>
        <v>3.8062549951177561E-2</v>
      </c>
      <c r="Q82" s="21"/>
      <c r="U82" s="56"/>
      <c r="V82" s="21"/>
      <c r="W82" s="56">
        <v>43746</v>
      </c>
      <c r="X82" s="21">
        <v>34.799999999999997</v>
      </c>
      <c r="Y82" s="21"/>
    </row>
    <row r="83" spans="3:25" x14ac:dyDescent="0.25">
      <c r="C83" s="149">
        <v>42</v>
      </c>
      <c r="D83" s="59">
        <v>8</v>
      </c>
      <c r="E83" s="151">
        <v>7.6226360805558011</v>
      </c>
      <c r="F83" s="60">
        <f t="shared" si="2"/>
        <v>4.7170489930524861E-2</v>
      </c>
      <c r="G83" s="155"/>
      <c r="H83" s="21">
        <v>0.39781818181818179</v>
      </c>
      <c r="I83" s="19">
        <v>7.6</v>
      </c>
      <c r="J83" s="51">
        <v>7.9979079666492723</v>
      </c>
      <c r="K83" s="60">
        <f t="shared" si="3"/>
        <v>5.2356311401220088E-2</v>
      </c>
      <c r="Q83" s="21"/>
      <c r="U83" s="56"/>
      <c r="V83" s="21"/>
      <c r="W83" s="56">
        <v>43747</v>
      </c>
      <c r="X83" s="21">
        <v>34.799999999999997</v>
      </c>
      <c r="Y83" s="21"/>
    </row>
    <row r="84" spans="3:25" x14ac:dyDescent="0.25">
      <c r="C84" s="149">
        <v>44</v>
      </c>
      <c r="D84" s="59">
        <v>7.6</v>
      </c>
      <c r="E84" s="151">
        <v>7.4062671561426647</v>
      </c>
      <c r="F84" s="60">
        <f t="shared" si="2"/>
        <v>2.5491163665438805E-2</v>
      </c>
      <c r="G84" s="155"/>
      <c r="H84" s="21">
        <v>0.39781818181818179</v>
      </c>
      <c r="I84" s="19">
        <v>8.5</v>
      </c>
      <c r="J84" s="51">
        <v>8.0349859801671162</v>
      </c>
      <c r="K84" s="60">
        <f t="shared" si="3"/>
        <v>5.4707531745045154E-2</v>
      </c>
      <c r="Q84" s="21"/>
      <c r="U84" s="56"/>
      <c r="V84" s="21"/>
      <c r="W84" s="56">
        <v>43748</v>
      </c>
      <c r="X84" s="21">
        <v>34.799999999999997</v>
      </c>
      <c r="Y84" s="55"/>
    </row>
    <row r="85" spans="3:25" x14ac:dyDescent="0.25">
      <c r="C85" s="149">
        <v>45</v>
      </c>
      <c r="D85" s="59">
        <v>8.1999999999999993</v>
      </c>
      <c r="E85" s="151">
        <v>7.4062745886789267</v>
      </c>
      <c r="F85" s="60">
        <f t="shared" si="2"/>
        <v>9.6795781868423483E-2</v>
      </c>
      <c r="G85" s="155"/>
      <c r="H85" s="21">
        <v>0.43050000000000005</v>
      </c>
      <c r="I85" s="19">
        <v>8.6</v>
      </c>
      <c r="J85" s="51">
        <v>8.7522689462214309</v>
      </c>
      <c r="K85" s="60">
        <f t="shared" si="3"/>
        <v>1.770569142109666E-2</v>
      </c>
      <c r="Q85" s="21"/>
      <c r="U85" s="56"/>
      <c r="V85" s="21"/>
      <c r="W85" s="56">
        <v>43749</v>
      </c>
      <c r="X85" s="21">
        <v>34.799999999999997</v>
      </c>
      <c r="Y85" s="21"/>
    </row>
    <row r="86" spans="3:25" x14ac:dyDescent="0.25">
      <c r="C86" s="149">
        <v>46</v>
      </c>
      <c r="D86" s="59">
        <v>7</v>
      </c>
      <c r="E86" s="151">
        <v>7.1967139253885115</v>
      </c>
      <c r="F86" s="60">
        <f t="shared" si="2"/>
        <v>2.8101989341215931E-2</v>
      </c>
      <c r="G86" s="155"/>
      <c r="H86" s="21">
        <v>0.40263157894736845</v>
      </c>
      <c r="I86" s="19">
        <v>8.1</v>
      </c>
      <c r="J86" s="51">
        <v>7.7975937359623968</v>
      </c>
      <c r="K86" s="60">
        <f t="shared" si="3"/>
        <v>3.7334106671308993E-2</v>
      </c>
      <c r="Q86" s="21"/>
      <c r="U86" s="56"/>
      <c r="V86" s="21"/>
      <c r="W86" s="56">
        <v>43750</v>
      </c>
      <c r="X86" s="21">
        <v>34.488888888888887</v>
      </c>
      <c r="Y86" s="21"/>
    </row>
    <row r="87" spans="3:25" x14ac:dyDescent="0.25">
      <c r="C87" s="149">
        <v>45</v>
      </c>
      <c r="D87" s="59">
        <v>7.8</v>
      </c>
      <c r="E87" s="151">
        <v>7.2504353864224713</v>
      </c>
      <c r="F87" s="60">
        <f t="shared" si="2"/>
        <v>7.0457001740708791E-2</v>
      </c>
      <c r="G87" s="155"/>
      <c r="H87" s="21">
        <v>0.40263157894736845</v>
      </c>
      <c r="I87" s="19">
        <v>7.8</v>
      </c>
      <c r="J87" s="51">
        <v>8.138303785667107</v>
      </c>
      <c r="K87" s="60">
        <f t="shared" si="3"/>
        <v>4.3372280213731691E-2</v>
      </c>
      <c r="Q87" s="21"/>
      <c r="U87" s="56"/>
      <c r="V87" s="21"/>
      <c r="W87" s="56">
        <v>43751</v>
      </c>
      <c r="X87" s="21">
        <v>35.3125</v>
      </c>
      <c r="Y87" s="55"/>
    </row>
    <row r="88" spans="3:25" x14ac:dyDescent="0.25">
      <c r="C88" s="149">
        <v>43</v>
      </c>
      <c r="D88" s="59">
        <v>7.8</v>
      </c>
      <c r="E88" s="151">
        <v>7.5572426047088896</v>
      </c>
      <c r="F88" s="60">
        <f t="shared" si="2"/>
        <v>3.1122742986039766E-2</v>
      </c>
      <c r="G88" s="155"/>
      <c r="H88" s="21">
        <v>0.42086666666666667</v>
      </c>
      <c r="I88" s="19">
        <v>8</v>
      </c>
      <c r="J88" s="51">
        <v>8.6451833048991986</v>
      </c>
      <c r="K88" s="60">
        <f t="shared" si="3"/>
        <v>8.0647913112399827E-2</v>
      </c>
      <c r="Q88" s="21"/>
      <c r="U88" s="56"/>
      <c r="V88" s="21"/>
      <c r="W88" s="56">
        <v>43752</v>
      </c>
      <c r="X88" s="21">
        <v>33.929999999999993</v>
      </c>
      <c r="Y88" s="21"/>
    </row>
    <row r="89" spans="3:25" x14ac:dyDescent="0.25">
      <c r="C89" s="149">
        <v>42</v>
      </c>
      <c r="D89" s="59">
        <v>8.1999999999999993</v>
      </c>
      <c r="E89" s="151">
        <v>7.6164555854260669</v>
      </c>
      <c r="F89" s="60">
        <f t="shared" si="2"/>
        <v>7.1163952996821031E-2</v>
      </c>
      <c r="G89" s="155"/>
      <c r="H89" s="21">
        <v>0.44</v>
      </c>
      <c r="I89" s="19">
        <v>9.26</v>
      </c>
      <c r="J89" s="51">
        <v>8.5232197826178719</v>
      </c>
      <c r="K89" s="60">
        <f t="shared" si="3"/>
        <v>7.9565898205413377E-2</v>
      </c>
      <c r="Q89" s="21"/>
      <c r="U89" s="56"/>
      <c r="V89" s="21"/>
      <c r="W89" s="56">
        <v>43753</v>
      </c>
      <c r="X89" s="21">
        <v>40.158823529411777</v>
      </c>
      <c r="Y89" s="21"/>
    </row>
    <row r="90" spans="3:25" x14ac:dyDescent="0.25">
      <c r="C90" s="149">
        <v>45</v>
      </c>
      <c r="D90" s="59">
        <v>6.9</v>
      </c>
      <c r="E90" s="151">
        <v>7.0424604921655396</v>
      </c>
      <c r="F90" s="60">
        <f t="shared" si="2"/>
        <v>2.0646448139933223E-2</v>
      </c>
      <c r="G90" s="155"/>
      <c r="I90" s="112">
        <f>AVERAGE(I81:I89)</f>
        <v>8.1622222222222227</v>
      </c>
      <c r="J90" s="112">
        <f>AVERAGE(J81:J89)</f>
        <v>8.0739657994780121</v>
      </c>
      <c r="K90" s="162">
        <f>AVERAGE(K81:K89)</f>
        <v>5.2409375746359531E-2</v>
      </c>
      <c r="Q90" s="21"/>
      <c r="U90" s="56"/>
      <c r="V90" s="21"/>
      <c r="W90" s="56">
        <v>43754</v>
      </c>
      <c r="X90" s="21">
        <v>41.170588235294126</v>
      </c>
      <c r="Y90" s="55"/>
    </row>
    <row r="91" spans="3:25" x14ac:dyDescent="0.25">
      <c r="C91" s="149">
        <v>45</v>
      </c>
      <c r="D91" s="59">
        <v>6.7</v>
      </c>
      <c r="E91" s="151">
        <v>6.9212871410110823</v>
      </c>
      <c r="F91" s="60">
        <f t="shared" si="2"/>
        <v>3.3027931494191365E-2</v>
      </c>
      <c r="G91" s="155"/>
      <c r="J91" s="60">
        <f>ABS((I90-J90)/I90)</f>
        <v>1.0812793420880693E-2</v>
      </c>
      <c r="Q91" s="21"/>
      <c r="U91" s="56"/>
      <c r="V91" s="21"/>
      <c r="W91" s="56">
        <v>43755</v>
      </c>
      <c r="X91" s="21">
        <v>41.525000000000006</v>
      </c>
      <c r="Y91" s="21"/>
    </row>
    <row r="92" spans="3:25" x14ac:dyDescent="0.25">
      <c r="C92" s="149">
        <v>46</v>
      </c>
      <c r="D92" s="59">
        <v>6.5</v>
      </c>
      <c r="E92" s="151">
        <v>6.5548500734226609</v>
      </c>
      <c r="F92" s="60">
        <f t="shared" si="2"/>
        <v>8.4384728342555247E-3</v>
      </c>
      <c r="G92" s="155"/>
      <c r="H92" s="58" t="s">
        <v>378</v>
      </c>
      <c r="I92" s="59"/>
      <c r="Q92" s="21"/>
      <c r="U92" s="56"/>
      <c r="V92" s="21"/>
      <c r="W92" s="56">
        <v>43756</v>
      </c>
      <c r="X92" s="21">
        <v>34.982352941176458</v>
      </c>
      <c r="Y92" s="21"/>
    </row>
    <row r="93" spans="3:25" ht="18" x14ac:dyDescent="0.35">
      <c r="C93" s="149">
        <v>45</v>
      </c>
      <c r="D93" s="59">
        <v>6.9</v>
      </c>
      <c r="E93" s="151">
        <v>7.5619282167585293</v>
      </c>
      <c r="F93" s="60">
        <f t="shared" si="2"/>
        <v>9.5931625617178107E-2</v>
      </c>
      <c r="G93" s="155"/>
      <c r="H93" s="58" t="s">
        <v>373</v>
      </c>
      <c r="I93" s="59" t="s">
        <v>368</v>
      </c>
      <c r="J93" s="60" t="s">
        <v>369</v>
      </c>
      <c r="Q93" s="21"/>
      <c r="U93" s="56"/>
      <c r="V93" s="21"/>
      <c r="W93" s="56">
        <v>43757</v>
      </c>
      <c r="X93" s="21">
        <v>42.458333333333329</v>
      </c>
      <c r="Y93" s="55"/>
    </row>
    <row r="94" spans="3:25" x14ac:dyDescent="0.25">
      <c r="C94" s="149">
        <v>45</v>
      </c>
      <c r="D94" s="59">
        <v>7.5</v>
      </c>
      <c r="E94" s="151">
        <v>7.5965026747310951</v>
      </c>
      <c r="F94" s="60">
        <f t="shared" si="2"/>
        <v>1.2867023297479345E-2</v>
      </c>
      <c r="G94" s="155"/>
      <c r="H94" s="21">
        <v>0.30677272727272731</v>
      </c>
      <c r="I94" s="19">
        <v>7</v>
      </c>
      <c r="J94" s="51">
        <v>6.3582206777912553</v>
      </c>
      <c r="K94" s="60">
        <f>(ABS(I94-J94))/I94</f>
        <v>9.1682760315534947E-2</v>
      </c>
      <c r="Q94" s="21"/>
      <c r="U94" s="56"/>
      <c r="V94" s="21"/>
      <c r="W94" s="56">
        <v>43758</v>
      </c>
      <c r="X94" s="21">
        <v>33.424999999999997</v>
      </c>
      <c r="Y94" s="21"/>
    </row>
    <row r="95" spans="3:25" x14ac:dyDescent="0.25">
      <c r="C95" s="149">
        <v>45</v>
      </c>
      <c r="D95" s="59">
        <v>7.9</v>
      </c>
      <c r="E95" s="151">
        <v>7.503675247977708</v>
      </c>
      <c r="F95" s="60">
        <f t="shared" si="2"/>
        <v>5.0167690129404093E-2</v>
      </c>
      <c r="G95" s="155"/>
      <c r="H95" s="21">
        <v>0.34862499999999996</v>
      </c>
      <c r="I95" s="19">
        <v>7.1</v>
      </c>
      <c r="J95" s="51">
        <v>7.1047976841697302</v>
      </c>
      <c r="K95" s="60">
        <f t="shared" ref="K95:K107" si="4">(ABS(I95-J95))/I95</f>
        <v>6.7573016475078694E-4</v>
      </c>
      <c r="Q95" s="21"/>
      <c r="U95" s="56"/>
      <c r="V95" s="21"/>
      <c r="W95" s="56">
        <v>43759</v>
      </c>
      <c r="X95" s="21">
        <v>34.74444444444444</v>
      </c>
      <c r="Y95" s="21"/>
    </row>
    <row r="96" spans="3:25" x14ac:dyDescent="0.25">
      <c r="C96" s="149">
        <v>43</v>
      </c>
      <c r="D96" s="59">
        <v>7.7</v>
      </c>
      <c r="E96" s="151">
        <v>7.7288911035112102</v>
      </c>
      <c r="F96" s="60">
        <f t="shared" si="2"/>
        <v>3.7520913650922138E-3</v>
      </c>
      <c r="G96" s="155"/>
      <c r="H96" s="21">
        <v>0.37680000000000002</v>
      </c>
      <c r="I96" s="19">
        <v>8</v>
      </c>
      <c r="J96" s="51">
        <v>7.6226360805558011</v>
      </c>
      <c r="K96" s="60">
        <f t="shared" si="4"/>
        <v>4.7170489930524861E-2</v>
      </c>
      <c r="Q96" s="21"/>
      <c r="U96" s="56"/>
      <c r="V96" s="21"/>
      <c r="W96" s="56">
        <v>43760</v>
      </c>
      <c r="X96" s="21">
        <v>37.115384615384606</v>
      </c>
      <c r="Y96" s="55"/>
    </row>
    <row r="97" spans="3:25" x14ac:dyDescent="0.25">
      <c r="C97" s="149">
        <v>42</v>
      </c>
      <c r="D97" s="59">
        <v>8.3000000000000007</v>
      </c>
      <c r="E97" s="151">
        <v>7.626662916941048</v>
      </c>
      <c r="F97" s="60">
        <f t="shared" si="2"/>
        <v>8.1124949766138876E-2</v>
      </c>
      <c r="G97" s="155"/>
      <c r="H97" s="21">
        <v>0.40622727272727283</v>
      </c>
      <c r="I97" s="19">
        <v>8.8000000000000007</v>
      </c>
      <c r="J97" s="51">
        <v>8.3366026921978964</v>
      </c>
      <c r="K97" s="60">
        <f t="shared" si="4"/>
        <v>5.2658784977511849E-2</v>
      </c>
      <c r="Q97" s="21"/>
      <c r="W97" s="56">
        <v>43761</v>
      </c>
      <c r="X97" s="21">
        <v>38.352380952380948</v>
      </c>
      <c r="Y97" s="21"/>
    </row>
    <row r="98" spans="3:25" x14ac:dyDescent="0.25">
      <c r="C98" s="149">
        <v>44</v>
      </c>
      <c r="D98" s="59">
        <v>7.9</v>
      </c>
      <c r="E98" s="151">
        <v>7.6543432134441751</v>
      </c>
      <c r="F98" s="60">
        <f t="shared" si="2"/>
        <v>3.1095795766560155E-2</v>
      </c>
      <c r="G98" s="155"/>
      <c r="H98" s="21">
        <v>0.41230769230769232</v>
      </c>
      <c r="I98" s="19">
        <v>9.1</v>
      </c>
      <c r="J98" s="51">
        <v>8.4682713872176354</v>
      </c>
      <c r="K98" s="60">
        <f t="shared" si="4"/>
        <v>6.9420726679380693E-2</v>
      </c>
      <c r="Q98" s="21"/>
      <c r="R98" s="143"/>
      <c r="W98" s="56">
        <v>43762</v>
      </c>
      <c r="X98" s="21">
        <v>39.088235294117645</v>
      </c>
      <c r="Y98" s="21"/>
    </row>
    <row r="99" spans="3:25" x14ac:dyDescent="0.25">
      <c r="C99" s="149">
        <v>45</v>
      </c>
      <c r="D99" s="59">
        <v>7.3</v>
      </c>
      <c r="E99" s="151">
        <v>7.6168155282491838</v>
      </c>
      <c r="F99" s="60">
        <f t="shared" si="2"/>
        <v>4.339938743139507E-2</v>
      </c>
      <c r="G99" s="155"/>
      <c r="H99" s="21">
        <v>0.46186206896551718</v>
      </c>
      <c r="I99" s="19">
        <v>9.1</v>
      </c>
      <c r="J99" s="51">
        <v>9.8785987539538933</v>
      </c>
      <c r="K99" s="60">
        <f t="shared" si="4"/>
        <v>8.5560302632296012E-2</v>
      </c>
      <c r="Q99" s="21"/>
      <c r="U99" s="56"/>
      <c r="V99" s="21"/>
      <c r="W99" s="56">
        <v>43763</v>
      </c>
      <c r="X99" s="21">
        <v>35.340000000000003</v>
      </c>
      <c r="Y99" s="55"/>
    </row>
    <row r="100" spans="3:25" x14ac:dyDescent="0.25">
      <c r="C100" s="59"/>
      <c r="D100" s="153">
        <f>AVERAGE(D79:D99)</f>
        <v>7.5190476190476208</v>
      </c>
      <c r="E100" s="153">
        <f>AVERAGE(E79:E99)</f>
        <v>7.3731148726166582</v>
      </c>
      <c r="F100" s="160">
        <f>AVERAGE(F79:F99)</f>
        <v>4.1448424724522495E-2</v>
      </c>
      <c r="G100" s="155"/>
      <c r="H100" s="140">
        <v>0.38210526315789473</v>
      </c>
      <c r="I100" s="59">
        <v>8.1999999999999993</v>
      </c>
      <c r="J100" s="51">
        <v>7.6164555854260669</v>
      </c>
      <c r="K100" s="60">
        <f t="shared" si="4"/>
        <v>7.1163952996821031E-2</v>
      </c>
      <c r="Q100" s="21"/>
      <c r="U100" s="56"/>
      <c r="V100" s="21"/>
      <c r="W100" s="56">
        <v>43764</v>
      </c>
      <c r="X100" s="21">
        <v>42.524999999999999</v>
      </c>
      <c r="Y100" s="21"/>
    </row>
    <row r="101" spans="3:25" x14ac:dyDescent="0.25">
      <c r="C101" s="58"/>
      <c r="D101" s="59"/>
      <c r="E101" s="60">
        <f>ABS((D100-E100)/D100)</f>
        <v>1.9408408328373736E-2</v>
      </c>
      <c r="F101" s="59"/>
      <c r="G101" s="155"/>
      <c r="H101" s="140">
        <v>0.38195238095238082</v>
      </c>
      <c r="I101" s="59">
        <v>8.3000000000000007</v>
      </c>
      <c r="J101" s="51">
        <v>7.626662916941048</v>
      </c>
      <c r="K101" s="60">
        <f t="shared" si="4"/>
        <v>8.1124949766138876E-2</v>
      </c>
      <c r="Q101" s="21"/>
      <c r="U101" s="56"/>
      <c r="V101" s="21"/>
      <c r="W101" s="56">
        <v>43765</v>
      </c>
      <c r="X101" s="21">
        <v>35.728571428571435</v>
      </c>
      <c r="Y101" s="21"/>
    </row>
    <row r="102" spans="3:25" x14ac:dyDescent="0.25">
      <c r="C102" s="58" t="s">
        <v>371</v>
      </c>
      <c r="D102" s="59"/>
      <c r="E102" s="140"/>
      <c r="F102" s="61"/>
      <c r="G102" s="61"/>
      <c r="H102" s="140">
        <v>0.40263157894736845</v>
      </c>
      <c r="I102" s="59">
        <v>8.6999999999999993</v>
      </c>
      <c r="J102" s="61">
        <v>8.2548692814860907</v>
      </c>
      <c r="K102" s="60">
        <f t="shared" si="4"/>
        <v>5.1164450403897548E-2</v>
      </c>
      <c r="L102" s="140"/>
      <c r="M102" s="59"/>
      <c r="Q102" s="21"/>
      <c r="U102" s="56"/>
      <c r="V102" s="21"/>
      <c r="W102" s="56">
        <v>43766</v>
      </c>
      <c r="X102" s="21">
        <v>30.312500000000004</v>
      </c>
      <c r="Y102" s="55"/>
    </row>
    <row r="103" spans="3:25" ht="18" x14ac:dyDescent="0.35">
      <c r="C103" s="58" t="s">
        <v>261</v>
      </c>
      <c r="D103" s="59" t="s">
        <v>368</v>
      </c>
      <c r="E103" s="60" t="s">
        <v>369</v>
      </c>
      <c r="F103" s="154"/>
      <c r="G103" s="59"/>
      <c r="H103" s="140">
        <v>0.42086666666666667</v>
      </c>
      <c r="I103" s="59">
        <v>8</v>
      </c>
      <c r="J103" s="151">
        <v>8.5940759298302556</v>
      </c>
      <c r="K103" s="60">
        <f t="shared" si="4"/>
        <v>7.4259491228781949E-2</v>
      </c>
      <c r="L103" s="59"/>
      <c r="M103" s="59"/>
      <c r="Q103" s="21"/>
      <c r="U103" s="56"/>
      <c r="V103" s="21"/>
      <c r="W103" s="56">
        <v>43767</v>
      </c>
      <c r="X103" s="21">
        <v>34.037500000000001</v>
      </c>
      <c r="Y103" s="21"/>
    </row>
    <row r="104" spans="3:25" x14ac:dyDescent="0.25">
      <c r="C104" s="19">
        <v>41</v>
      </c>
      <c r="D104" s="149">
        <v>7.6</v>
      </c>
      <c r="E104" s="151">
        <v>7.9979079666492723</v>
      </c>
      <c r="F104" s="60">
        <f>(ABS(D104-E104))/D104</f>
        <v>5.2356311401220088E-2</v>
      </c>
      <c r="G104" s="59"/>
      <c r="H104" s="140">
        <v>0.42086666666666667</v>
      </c>
      <c r="I104" s="59">
        <v>8</v>
      </c>
      <c r="J104" s="151">
        <v>8.6204762558872421</v>
      </c>
      <c r="K104" s="60">
        <f t="shared" si="4"/>
        <v>7.7559531985905261E-2</v>
      </c>
      <c r="L104" s="59"/>
      <c r="M104" s="59"/>
      <c r="Q104" s="21"/>
      <c r="U104" s="56"/>
      <c r="V104" s="21"/>
      <c r="W104" s="56">
        <v>43768</v>
      </c>
      <c r="X104" s="21">
        <v>33.6</v>
      </c>
      <c r="Y104" s="21"/>
    </row>
    <row r="105" spans="3:25" x14ac:dyDescent="0.25">
      <c r="C105" s="19">
        <v>41</v>
      </c>
      <c r="D105" s="149">
        <v>8.5</v>
      </c>
      <c r="E105" s="51">
        <v>8.0349859801671162</v>
      </c>
      <c r="F105" s="60">
        <f t="shared" ref="F105:F140" si="5">(ABS(D105-E105))/D105</f>
        <v>5.4707531745045154E-2</v>
      </c>
      <c r="G105" s="59"/>
      <c r="H105" s="140">
        <v>0.41399999999999998</v>
      </c>
      <c r="I105" s="59">
        <v>8.9</v>
      </c>
      <c r="J105" s="151">
        <v>7.8669655923667303</v>
      </c>
      <c r="K105" s="60">
        <f t="shared" si="4"/>
        <v>0.11607128175654718</v>
      </c>
      <c r="L105" s="59"/>
      <c r="M105" s="59"/>
      <c r="Q105" s="21"/>
      <c r="U105" s="56"/>
      <c r="V105" s="21"/>
      <c r="W105" s="56">
        <v>43769</v>
      </c>
      <c r="X105" s="21">
        <v>35.455555555555549</v>
      </c>
      <c r="Y105" s="55"/>
    </row>
    <row r="106" spans="3:25" x14ac:dyDescent="0.25">
      <c r="C106" s="19">
        <v>44</v>
      </c>
      <c r="D106" s="149">
        <v>8.4</v>
      </c>
      <c r="E106" s="151">
        <v>9.1903691783622374</v>
      </c>
      <c r="F106" s="60">
        <f t="shared" si="5"/>
        <v>9.4091568852647273E-2</v>
      </c>
      <c r="G106" s="59"/>
      <c r="H106" s="140">
        <v>0.43799999999999994</v>
      </c>
      <c r="I106" s="59">
        <v>9.26</v>
      </c>
      <c r="J106" s="151">
        <v>8.5675835806639995</v>
      </c>
      <c r="K106" s="60">
        <f t="shared" si="4"/>
        <v>7.4774991288984918E-2</v>
      </c>
      <c r="L106" s="59"/>
      <c r="M106" s="59"/>
      <c r="Q106" s="21"/>
      <c r="U106" s="56"/>
      <c r="V106" s="21"/>
      <c r="W106" s="56">
        <v>43770</v>
      </c>
      <c r="X106" s="21">
        <v>39.781818181818181</v>
      </c>
      <c r="Y106" s="21"/>
    </row>
    <row r="107" spans="3:25" x14ac:dyDescent="0.25">
      <c r="C107" s="19">
        <v>43</v>
      </c>
      <c r="D107" s="149">
        <v>9</v>
      </c>
      <c r="E107" s="151">
        <v>9.2100241839933936</v>
      </c>
      <c r="F107" s="60">
        <f t="shared" si="5"/>
        <v>2.3336020443710401E-2</v>
      </c>
      <c r="G107" s="59"/>
      <c r="H107" s="140">
        <v>0.42899999999999999</v>
      </c>
      <c r="I107" s="59">
        <v>8.2899999999999991</v>
      </c>
      <c r="J107" s="151">
        <v>8.179614600317306</v>
      </c>
      <c r="K107" s="60">
        <f t="shared" si="4"/>
        <v>1.3315488502134274E-2</v>
      </c>
      <c r="L107" s="59"/>
      <c r="M107" s="59"/>
      <c r="Q107" s="21"/>
      <c r="U107" s="56"/>
      <c r="V107" s="21"/>
      <c r="W107" s="56">
        <v>43771</v>
      </c>
      <c r="X107" s="21">
        <v>41.952941176470588</v>
      </c>
      <c r="Y107" s="21"/>
    </row>
    <row r="108" spans="3:25" x14ac:dyDescent="0.25">
      <c r="C108" s="19">
        <v>41</v>
      </c>
      <c r="D108" s="149">
        <v>8.6</v>
      </c>
      <c r="E108" s="151">
        <v>8.7522689462214309</v>
      </c>
      <c r="F108" s="60">
        <f t="shared" si="5"/>
        <v>1.770569142109666E-2</v>
      </c>
      <c r="G108" s="59"/>
      <c r="H108" s="58"/>
      <c r="I108" s="153">
        <f>AVERAGE(I94:I107)</f>
        <v>8.3392857142857135</v>
      </c>
      <c r="J108" s="153">
        <f>AVERAGE(J94:J107)</f>
        <v>8.0782736442003529</v>
      </c>
      <c r="K108" s="160">
        <f>AVERAGE(K94:K107)</f>
        <v>6.4757352330657866E-2</v>
      </c>
      <c r="L108" s="59"/>
      <c r="M108" s="59"/>
      <c r="Q108" s="21"/>
      <c r="U108" s="56"/>
      <c r="V108" s="21"/>
      <c r="W108" s="56">
        <v>43772</v>
      </c>
      <c r="X108" s="21">
        <v>48.06666666666667</v>
      </c>
      <c r="Y108" s="55"/>
    </row>
    <row r="109" spans="3:25" x14ac:dyDescent="0.25">
      <c r="C109" s="19">
        <v>42</v>
      </c>
      <c r="D109" s="149">
        <v>8.8000000000000007</v>
      </c>
      <c r="E109" s="151">
        <v>8.3366026921978964</v>
      </c>
      <c r="F109" s="60">
        <f t="shared" si="5"/>
        <v>5.2658784977511849E-2</v>
      </c>
      <c r="G109" s="59"/>
      <c r="H109" s="59"/>
      <c r="I109" s="59"/>
      <c r="J109" s="60">
        <f>ABS((I108-J108)/I108)</f>
        <v>3.1299091916017555E-2</v>
      </c>
      <c r="K109" s="59"/>
      <c r="L109" s="59"/>
      <c r="M109" s="59"/>
      <c r="Q109" s="21"/>
      <c r="U109" s="56"/>
      <c r="V109" s="21"/>
      <c r="W109" s="56">
        <v>43773</v>
      </c>
      <c r="X109" s="21">
        <v>37.68</v>
      </c>
      <c r="Y109" s="21"/>
    </row>
    <row r="110" spans="3:25" x14ac:dyDescent="0.25">
      <c r="C110" s="19">
        <v>42</v>
      </c>
      <c r="D110" s="149">
        <v>9.1</v>
      </c>
      <c r="E110" s="151">
        <v>8.4682713872176354</v>
      </c>
      <c r="F110" s="60">
        <f t="shared" si="5"/>
        <v>6.9420726679380693E-2</v>
      </c>
      <c r="G110" s="59"/>
      <c r="H110" s="58" t="s">
        <v>379</v>
      </c>
      <c r="I110" s="59"/>
      <c r="J110" s="60"/>
      <c r="K110" s="59"/>
      <c r="L110" s="59"/>
      <c r="M110" s="59"/>
      <c r="W110" s="56">
        <v>43774</v>
      </c>
      <c r="X110" s="21">
        <v>37.989999999999995</v>
      </c>
      <c r="Y110" s="21"/>
    </row>
    <row r="111" spans="3:25" ht="18" x14ac:dyDescent="0.35">
      <c r="C111" s="19">
        <v>42</v>
      </c>
      <c r="D111" s="149">
        <v>9.1</v>
      </c>
      <c r="E111" s="151">
        <v>9.8785987539538933</v>
      </c>
      <c r="F111" s="60">
        <f t="shared" si="5"/>
        <v>8.5560302632296012E-2</v>
      </c>
      <c r="G111" s="59"/>
      <c r="H111" s="58" t="s">
        <v>373</v>
      </c>
      <c r="I111" s="59" t="s">
        <v>368</v>
      </c>
      <c r="J111" s="60" t="s">
        <v>369</v>
      </c>
      <c r="K111" s="59"/>
      <c r="L111" s="59"/>
      <c r="M111" s="61"/>
      <c r="N111" s="62"/>
      <c r="Q111" s="143"/>
      <c r="R111" s="143"/>
      <c r="W111" s="56">
        <v>43775</v>
      </c>
      <c r="X111" s="21">
        <v>43.557142857142857</v>
      </c>
      <c r="Y111" s="55"/>
    </row>
    <row r="112" spans="3:25" x14ac:dyDescent="0.25">
      <c r="C112" s="19">
        <v>43</v>
      </c>
      <c r="D112" s="149">
        <v>7.6</v>
      </c>
      <c r="E112" s="151">
        <v>8.108181509614429</v>
      </c>
      <c r="F112" s="60">
        <f t="shared" si="5"/>
        <v>6.6865988107161753E-2</v>
      </c>
      <c r="G112" s="59"/>
      <c r="H112" s="140">
        <v>0.34862499999999996</v>
      </c>
      <c r="I112" s="59">
        <v>7</v>
      </c>
      <c r="J112" s="187">
        <v>7.0909440121268066</v>
      </c>
      <c r="K112" s="60">
        <f>(ABS(I112-J112))/I112</f>
        <v>1.299200173240094E-2</v>
      </c>
      <c r="L112" s="59"/>
      <c r="M112" s="59"/>
      <c r="Q112" s="21"/>
      <c r="U112" s="56"/>
      <c r="V112" s="21"/>
      <c r="W112" s="56">
        <v>43776</v>
      </c>
      <c r="X112" s="21">
        <v>45.262500000000003</v>
      </c>
      <c r="Y112" s="21"/>
    </row>
    <row r="113" spans="3:25" x14ac:dyDescent="0.25">
      <c r="C113" s="19">
        <v>43</v>
      </c>
      <c r="D113" s="149">
        <v>8.1999999999999993</v>
      </c>
      <c r="E113" s="151">
        <v>8.2013395103023345</v>
      </c>
      <c r="F113" s="60">
        <f t="shared" si="5"/>
        <v>1.6335491491893369E-4</v>
      </c>
      <c r="G113" s="59"/>
      <c r="H113" s="140">
        <v>0.4536</v>
      </c>
      <c r="I113" s="59">
        <v>9</v>
      </c>
      <c r="J113" s="188">
        <v>9.2100241839933936</v>
      </c>
      <c r="K113" s="60">
        <f t="shared" ref="K113:K121" si="6">(ABS(I113-J113))/I113</f>
        <v>2.3336020443710401E-2</v>
      </c>
      <c r="L113" s="59"/>
      <c r="M113" s="59"/>
      <c r="Q113" s="21"/>
      <c r="U113" s="56"/>
      <c r="V113" s="21"/>
      <c r="W113" s="56">
        <v>43777</v>
      </c>
      <c r="X113" s="21">
        <v>45.36</v>
      </c>
      <c r="Y113" s="21"/>
    </row>
    <row r="114" spans="3:25" x14ac:dyDescent="0.25">
      <c r="C114" s="19">
        <v>41</v>
      </c>
      <c r="D114" s="149">
        <v>8.1</v>
      </c>
      <c r="E114" s="151">
        <v>7.7975937359623968</v>
      </c>
      <c r="F114" s="60">
        <f t="shared" si="5"/>
        <v>3.7334106671308993E-2</v>
      </c>
      <c r="G114" s="59"/>
      <c r="H114" s="140">
        <v>0.38210526315789473</v>
      </c>
      <c r="I114" s="59">
        <v>7.8</v>
      </c>
      <c r="J114" s="188">
        <v>7.5572426047088896</v>
      </c>
      <c r="K114" s="60">
        <f t="shared" si="6"/>
        <v>3.1122742986039766E-2</v>
      </c>
      <c r="L114" s="59"/>
      <c r="M114" s="59"/>
      <c r="Q114" s="21"/>
      <c r="U114" s="56"/>
      <c r="V114" s="21"/>
      <c r="W114" s="56">
        <v>43778</v>
      </c>
      <c r="X114" s="21">
        <v>43.050000000000004</v>
      </c>
      <c r="Y114" s="55"/>
    </row>
    <row r="115" spans="3:25" x14ac:dyDescent="0.25">
      <c r="C115" s="19">
        <v>42</v>
      </c>
      <c r="D115" s="149">
        <v>8.6999999999999993</v>
      </c>
      <c r="E115" s="151">
        <v>8.2548692814860907</v>
      </c>
      <c r="F115" s="60">
        <f t="shared" si="5"/>
        <v>5.1164450403897548E-2</v>
      </c>
      <c r="G115" s="59"/>
      <c r="H115" s="140">
        <v>0.38195238095238082</v>
      </c>
      <c r="I115" s="59">
        <v>7.7</v>
      </c>
      <c r="J115" s="188">
        <v>7.7288911035112102</v>
      </c>
      <c r="K115" s="60">
        <f t="shared" si="6"/>
        <v>3.7520913650922138E-3</v>
      </c>
      <c r="L115" s="144"/>
      <c r="M115" s="59"/>
      <c r="Q115" s="21"/>
      <c r="U115" s="56"/>
      <c r="V115" s="21"/>
      <c r="W115" s="56">
        <v>43779</v>
      </c>
      <c r="X115" s="21">
        <v>40.25714285714286</v>
      </c>
      <c r="Y115" s="21"/>
    </row>
    <row r="116" spans="3:25" x14ac:dyDescent="0.25">
      <c r="C116" s="19">
        <v>41</v>
      </c>
      <c r="D116" s="149">
        <v>7.8</v>
      </c>
      <c r="E116" s="151">
        <v>8.138303785667107</v>
      </c>
      <c r="F116" s="60">
        <f t="shared" si="5"/>
        <v>4.3372280213731691E-2</v>
      </c>
      <c r="G116" s="59"/>
      <c r="H116" s="140">
        <v>0.40263157894736845</v>
      </c>
      <c r="I116" s="59">
        <v>7.6</v>
      </c>
      <c r="J116" s="188">
        <v>8.108181509614429</v>
      </c>
      <c r="K116" s="60">
        <f t="shared" si="6"/>
        <v>6.6865988107161753E-2</v>
      </c>
      <c r="L116" s="140"/>
      <c r="M116" s="59"/>
      <c r="Q116" s="21"/>
      <c r="U116" s="56"/>
      <c r="V116" s="21"/>
      <c r="W116" s="56">
        <v>43780</v>
      </c>
      <c r="X116" s="21">
        <v>45</v>
      </c>
      <c r="Y116" s="21"/>
    </row>
    <row r="117" spans="3:25" x14ac:dyDescent="0.25">
      <c r="C117" s="19">
        <v>43</v>
      </c>
      <c r="D117" s="149">
        <v>7.8</v>
      </c>
      <c r="E117" s="151">
        <v>8.5141537947326782</v>
      </c>
      <c r="F117" s="60">
        <f t="shared" si="5"/>
        <v>9.1558178811881843E-2</v>
      </c>
      <c r="G117" s="59"/>
      <c r="H117" s="140">
        <v>0.40263157894736845</v>
      </c>
      <c r="I117" s="59">
        <v>8.1999999999999993</v>
      </c>
      <c r="J117" s="187">
        <v>8.2013395103023345</v>
      </c>
      <c r="K117" s="60">
        <f t="shared" si="6"/>
        <v>1.6335491491893369E-4</v>
      </c>
      <c r="L117" s="59"/>
      <c r="M117" s="59"/>
      <c r="Q117" s="21"/>
      <c r="U117" s="56"/>
      <c r="V117" s="21"/>
      <c r="W117" s="56">
        <v>43781</v>
      </c>
      <c r="X117" s="21">
        <v>40.622727272727282</v>
      </c>
      <c r="Y117" s="55"/>
    </row>
    <row r="118" spans="3:25" x14ac:dyDescent="0.25">
      <c r="C118" s="19">
        <v>42</v>
      </c>
      <c r="D118" s="149">
        <v>8</v>
      </c>
      <c r="E118" s="151">
        <v>8.5940759298302556</v>
      </c>
      <c r="F118" s="60">
        <f t="shared" si="5"/>
        <v>7.4259491228781949E-2</v>
      </c>
      <c r="G118" s="59"/>
      <c r="H118" s="140">
        <v>0.42086666666666667</v>
      </c>
      <c r="I118" s="59">
        <v>7.8</v>
      </c>
      <c r="J118" s="187">
        <v>8.5141537947326782</v>
      </c>
      <c r="K118" s="60">
        <f t="shared" si="6"/>
        <v>9.1558178811881843E-2</v>
      </c>
      <c r="L118" s="59"/>
      <c r="M118" s="59"/>
      <c r="Q118" s="21"/>
      <c r="U118" s="56"/>
      <c r="V118" s="21"/>
      <c r="W118" s="56">
        <v>43782</v>
      </c>
      <c r="X118" s="21">
        <v>39.820000000000007</v>
      </c>
      <c r="Y118" s="21"/>
    </row>
    <row r="119" spans="3:25" x14ac:dyDescent="0.25">
      <c r="C119" s="19">
        <v>41</v>
      </c>
      <c r="D119" s="149">
        <v>8</v>
      </c>
      <c r="E119" s="151">
        <v>8.6451833048991986</v>
      </c>
      <c r="F119" s="60">
        <f t="shared" si="5"/>
        <v>8.0647913112399827E-2</v>
      </c>
      <c r="G119" s="59"/>
      <c r="H119" s="140">
        <v>0.434</v>
      </c>
      <c r="I119" s="59">
        <v>8.6199999999999992</v>
      </c>
      <c r="J119" s="187">
        <v>8.3264862466142588</v>
      </c>
      <c r="K119" s="60">
        <f t="shared" si="6"/>
        <v>3.4050319418299349E-2</v>
      </c>
      <c r="L119" s="59"/>
      <c r="M119" s="59"/>
      <c r="W119" s="56">
        <v>43783</v>
      </c>
      <c r="X119" s="21">
        <v>37.029411764705884</v>
      </c>
      <c r="Y119" s="21"/>
    </row>
    <row r="120" spans="3:25" x14ac:dyDescent="0.25">
      <c r="C120" s="19">
        <v>42</v>
      </c>
      <c r="D120" s="149">
        <v>8</v>
      </c>
      <c r="E120" s="186">
        <v>8.6204762558872421</v>
      </c>
      <c r="F120" s="60">
        <f t="shared" si="5"/>
        <v>7.7559531985905261E-2</v>
      </c>
      <c r="G120" s="59"/>
      <c r="H120" s="140">
        <v>0.434</v>
      </c>
      <c r="I120" s="59">
        <v>9.83</v>
      </c>
      <c r="J120" s="187">
        <v>8.254241665490353</v>
      </c>
      <c r="K120" s="60">
        <f t="shared" si="6"/>
        <v>0.1603009495940638</v>
      </c>
      <c r="L120" s="59"/>
      <c r="M120" s="59"/>
      <c r="N120" s="62"/>
      <c r="Q120" s="143"/>
      <c r="R120" s="143"/>
      <c r="W120" s="56">
        <v>43784</v>
      </c>
      <c r="X120" s="21">
        <v>41.230769230769234</v>
      </c>
      <c r="Y120" s="55"/>
    </row>
    <row r="121" spans="3:25" x14ac:dyDescent="0.25">
      <c r="C121" s="19">
        <v>42.4</v>
      </c>
      <c r="D121" s="149">
        <v>8.9</v>
      </c>
      <c r="E121" s="61">
        <v>7.8669655923667303</v>
      </c>
      <c r="F121" s="60">
        <f t="shared" si="5"/>
        <v>0.11607128175654718</v>
      </c>
      <c r="G121" s="59"/>
      <c r="H121" s="156">
        <v>0.439</v>
      </c>
      <c r="I121" s="157">
        <v>8</v>
      </c>
      <c r="J121" s="187">
        <v>8.3596090165256207</v>
      </c>
      <c r="K121" s="60">
        <f t="shared" si="6"/>
        <v>4.495112706570259E-2</v>
      </c>
      <c r="L121" s="59"/>
      <c r="M121" s="59"/>
      <c r="Q121" s="21"/>
      <c r="U121" s="56"/>
      <c r="V121" s="21"/>
      <c r="W121" s="56">
        <v>43785</v>
      </c>
      <c r="X121" s="21">
        <v>42.566666666666656</v>
      </c>
      <c r="Y121" s="21"/>
    </row>
    <row r="122" spans="3:25" x14ac:dyDescent="0.25">
      <c r="C122" s="19">
        <v>45.6</v>
      </c>
      <c r="D122" s="149">
        <v>7.91</v>
      </c>
      <c r="E122" s="151">
        <v>8.1499551127137728</v>
      </c>
      <c r="F122" s="60">
        <f t="shared" si="5"/>
        <v>3.0335665324117911E-2</v>
      </c>
      <c r="G122" s="59"/>
      <c r="H122" s="59"/>
      <c r="I122" s="158">
        <f>AVERAGE(I112:I121)</f>
        <v>8.1549999999999994</v>
      </c>
      <c r="J122" s="153">
        <f>AVERAGE(J112:J121)</f>
        <v>8.1351113647619986</v>
      </c>
      <c r="K122" s="160">
        <f>AVERAGE(K112:K121)</f>
        <v>4.6909277443927158E-2</v>
      </c>
      <c r="L122" s="59"/>
      <c r="M122" s="59"/>
      <c r="Q122" s="21"/>
      <c r="U122" s="56"/>
      <c r="V122" s="21"/>
      <c r="W122" s="56">
        <v>43786</v>
      </c>
      <c r="X122" s="21">
        <v>42.217647058823523</v>
      </c>
      <c r="Y122" s="21"/>
    </row>
    <row r="123" spans="3:25" x14ac:dyDescent="0.25">
      <c r="C123" s="19">
        <v>46.6</v>
      </c>
      <c r="D123" s="149">
        <v>7.71</v>
      </c>
      <c r="E123" s="151">
        <v>8.25893354915355</v>
      </c>
      <c r="F123" s="60">
        <f t="shared" si="5"/>
        <v>7.1197606894105064E-2</v>
      </c>
      <c r="G123" s="59"/>
      <c r="H123" s="58"/>
      <c r="I123" s="59"/>
      <c r="J123" s="60">
        <f>ABS((I122-J122)/I122)</f>
        <v>2.4388271291233324E-3</v>
      </c>
      <c r="K123" s="144"/>
      <c r="L123" s="59"/>
      <c r="M123" s="59"/>
      <c r="Q123" s="21"/>
      <c r="W123" s="56">
        <v>43787</v>
      </c>
      <c r="X123" s="21">
        <v>42.233333333333341</v>
      </c>
      <c r="Y123" s="55"/>
    </row>
    <row r="124" spans="3:25" x14ac:dyDescent="0.25">
      <c r="C124" s="19">
        <v>43.6</v>
      </c>
      <c r="D124" s="149">
        <v>8.4</v>
      </c>
      <c r="E124" s="151">
        <v>8.5638714049288218</v>
      </c>
      <c r="F124" s="60">
        <f t="shared" si="5"/>
        <v>1.9508500586764458E-2</v>
      </c>
      <c r="G124" s="59"/>
      <c r="H124" s="58" t="s">
        <v>380</v>
      </c>
      <c r="I124" s="59"/>
      <c r="J124" s="59"/>
      <c r="K124" s="140"/>
      <c r="L124" s="59"/>
      <c r="M124" s="59"/>
      <c r="Q124" s="21"/>
      <c r="W124" s="56">
        <v>43788</v>
      </c>
      <c r="X124" s="21">
        <v>42.373076923076923</v>
      </c>
      <c r="Y124" s="21"/>
    </row>
    <row r="125" spans="3:25" ht="18" x14ac:dyDescent="0.35">
      <c r="C125" s="19">
        <v>41.4</v>
      </c>
      <c r="D125" s="149">
        <v>9.26</v>
      </c>
      <c r="E125" s="151">
        <v>8.5232197826178719</v>
      </c>
      <c r="F125" s="60">
        <f t="shared" si="5"/>
        <v>7.9565898205413377E-2</v>
      </c>
      <c r="G125" s="59"/>
      <c r="H125" s="58" t="s">
        <v>373</v>
      </c>
      <c r="I125" s="59" t="s">
        <v>368</v>
      </c>
      <c r="J125" s="60" t="s">
        <v>369</v>
      </c>
      <c r="K125" s="59"/>
      <c r="L125" s="144"/>
      <c r="M125" s="59"/>
      <c r="Q125" s="21"/>
      <c r="W125" s="56">
        <v>43789</v>
      </c>
      <c r="X125" s="21">
        <v>46.186206896551717</v>
      </c>
      <c r="Y125" s="21"/>
    </row>
    <row r="126" spans="3:25" x14ac:dyDescent="0.25">
      <c r="C126" s="19">
        <v>46.4</v>
      </c>
      <c r="D126" s="149">
        <v>8.8000000000000007</v>
      </c>
      <c r="E126" s="151">
        <v>8.2045760874963989</v>
      </c>
      <c r="F126" s="60">
        <f t="shared" si="5"/>
        <v>6.7661808239045662E-2</v>
      </c>
      <c r="G126" s="59"/>
      <c r="H126" s="140">
        <v>0.45262500000000006</v>
      </c>
      <c r="I126" s="59">
        <v>8.4</v>
      </c>
      <c r="J126" s="151">
        <v>9.1903691783622374</v>
      </c>
      <c r="K126" s="60">
        <f>(ABS(I126-J126))/I126</f>
        <v>9.4091568852647273E-2</v>
      </c>
      <c r="L126" s="140"/>
      <c r="M126" s="59"/>
      <c r="W126" s="56">
        <v>43790</v>
      </c>
      <c r="X126" s="21">
        <v>42.426315789473684</v>
      </c>
      <c r="Y126" s="55"/>
    </row>
    <row r="127" spans="3:25" x14ac:dyDescent="0.25">
      <c r="C127" s="19">
        <v>44.6</v>
      </c>
      <c r="D127" s="149">
        <v>8.3000000000000007</v>
      </c>
      <c r="E127" s="151">
        <v>8.3981986261369652</v>
      </c>
      <c r="F127" s="60">
        <f t="shared" si="5"/>
        <v>1.1831159775537892E-2</v>
      </c>
      <c r="G127" s="59"/>
      <c r="H127" s="140">
        <v>0.37142857142857144</v>
      </c>
      <c r="I127" s="59">
        <v>7.6</v>
      </c>
      <c r="J127" s="151">
        <v>7.4062671561426647</v>
      </c>
      <c r="K127" s="60">
        <f t="shared" ref="K127:K129" si="7">(ABS(I127-J127))/I127</f>
        <v>2.5491163665438805E-2</v>
      </c>
      <c r="L127" s="59"/>
      <c r="M127" s="59"/>
      <c r="W127" s="56">
        <v>43791</v>
      </c>
      <c r="X127" s="21">
        <v>37.142857142857146</v>
      </c>
      <c r="Y127" s="21"/>
    </row>
    <row r="128" spans="3:25" x14ac:dyDescent="0.25">
      <c r="C128" s="19">
        <v>42.4</v>
      </c>
      <c r="D128" s="149">
        <v>9.26</v>
      </c>
      <c r="E128" s="151">
        <v>8.5675835806639995</v>
      </c>
      <c r="F128" s="60">
        <f t="shared" si="5"/>
        <v>7.4774991288984918E-2</v>
      </c>
      <c r="G128" s="59"/>
      <c r="H128" s="140">
        <v>0.38195238095238082</v>
      </c>
      <c r="I128" s="59">
        <v>7.9</v>
      </c>
      <c r="J128" s="151">
        <v>7.6543432134441751</v>
      </c>
      <c r="K128" s="60">
        <f t="shared" si="7"/>
        <v>3.1095795766560155E-2</v>
      </c>
      <c r="L128" s="59"/>
      <c r="M128" s="59"/>
      <c r="W128" s="56">
        <v>43792</v>
      </c>
      <c r="X128" s="21">
        <v>37.142857142857146</v>
      </c>
      <c r="Y128" s="21"/>
    </row>
    <row r="129" spans="3:25" x14ac:dyDescent="0.25">
      <c r="C129" s="19">
        <v>41.5</v>
      </c>
      <c r="D129" s="149">
        <v>8.2899999999999991</v>
      </c>
      <c r="E129" s="61">
        <v>8.179614600317306</v>
      </c>
      <c r="F129" s="60">
        <f t="shared" si="5"/>
        <v>1.3315488502134274E-2</v>
      </c>
      <c r="G129" s="59"/>
      <c r="H129" s="140">
        <v>0.44</v>
      </c>
      <c r="I129" s="59">
        <v>8.4</v>
      </c>
      <c r="J129" s="151">
        <v>8.5638714049288218</v>
      </c>
      <c r="K129" s="60">
        <f t="shared" si="7"/>
        <v>1.9508500586764458E-2</v>
      </c>
      <c r="L129" s="59"/>
      <c r="M129" s="59"/>
      <c r="W129" s="56">
        <v>43793</v>
      </c>
      <c r="X129" s="21">
        <v>37.142857142857146</v>
      </c>
      <c r="Y129" s="55"/>
    </row>
    <row r="130" spans="3:25" x14ac:dyDescent="0.25">
      <c r="C130" s="19">
        <v>42.5</v>
      </c>
      <c r="D130" s="149">
        <v>8.6199999999999992</v>
      </c>
      <c r="E130" s="61">
        <v>8.3264862466142588</v>
      </c>
      <c r="F130" s="60">
        <f t="shared" si="5"/>
        <v>3.4050319418299349E-2</v>
      </c>
      <c r="G130" s="59"/>
      <c r="H130" s="59"/>
      <c r="I130" s="158">
        <f>AVERAGE(I126:I129)</f>
        <v>8.0749999999999993</v>
      </c>
      <c r="J130" s="153">
        <f>AVERAGE(J126:J129)</f>
        <v>8.2037127382194743</v>
      </c>
      <c r="K130" s="160">
        <f>AVERAGE(K126:K129)</f>
        <v>4.2546757217852671E-2</v>
      </c>
      <c r="L130" s="59"/>
      <c r="M130" s="59"/>
      <c r="W130" s="56">
        <v>43794</v>
      </c>
      <c r="X130" s="21">
        <v>37.807142857142857</v>
      </c>
    </row>
    <row r="131" spans="3:25" x14ac:dyDescent="0.25">
      <c r="C131" s="19">
        <v>45.6</v>
      </c>
      <c r="D131" s="149">
        <v>9.2100000000000009</v>
      </c>
      <c r="E131" s="61">
        <v>8.2002915344959462</v>
      </c>
      <c r="F131" s="60">
        <f t="shared" si="5"/>
        <v>0.10963175521216663</v>
      </c>
      <c r="G131" s="59"/>
      <c r="H131" s="144"/>
      <c r="I131" s="144"/>
      <c r="J131" s="60">
        <f>ABS((I130-J130)/I130)</f>
        <v>1.5939657983835918E-2</v>
      </c>
      <c r="K131" s="59"/>
      <c r="L131" s="59"/>
      <c r="M131" s="59"/>
      <c r="W131" s="56">
        <v>43795</v>
      </c>
      <c r="X131" s="21">
        <v>37.309999999999995</v>
      </c>
    </row>
    <row r="132" spans="3:25" x14ac:dyDescent="0.25">
      <c r="C132" s="19">
        <v>43.4</v>
      </c>
      <c r="D132" s="149">
        <v>9.83</v>
      </c>
      <c r="E132" s="61">
        <v>8.254241665490353</v>
      </c>
      <c r="F132" s="60">
        <f t="shared" si="5"/>
        <v>0.1603009495940638</v>
      </c>
      <c r="G132" s="59"/>
      <c r="H132" s="58" t="s">
        <v>381</v>
      </c>
      <c r="I132" s="59"/>
      <c r="J132" s="60"/>
      <c r="K132" s="59"/>
      <c r="L132" s="59"/>
      <c r="M132" s="59"/>
      <c r="W132" s="56">
        <v>43796</v>
      </c>
      <c r="X132" s="21">
        <v>40.108333333333341</v>
      </c>
    </row>
    <row r="133" spans="3:25" ht="18" x14ac:dyDescent="0.35">
      <c r="C133" s="19">
        <v>42.5</v>
      </c>
      <c r="D133" s="149">
        <v>8</v>
      </c>
      <c r="E133" s="61">
        <v>8.3596090165256207</v>
      </c>
      <c r="F133" s="60">
        <f t="shared" si="5"/>
        <v>4.495112706570259E-2</v>
      </c>
      <c r="G133" s="59"/>
      <c r="H133" s="58" t="s">
        <v>373</v>
      </c>
      <c r="I133" s="59" t="s">
        <v>368</v>
      </c>
      <c r="J133" s="60" t="s">
        <v>369</v>
      </c>
      <c r="K133" s="59"/>
      <c r="L133" s="59"/>
      <c r="M133" s="59"/>
      <c r="N133" s="51"/>
      <c r="Q133" s="143"/>
      <c r="R133" s="143"/>
      <c r="W133" s="56">
        <v>43797</v>
      </c>
      <c r="X133" s="21">
        <v>41.775000000000006</v>
      </c>
    </row>
    <row r="134" spans="3:25" x14ac:dyDescent="0.25">
      <c r="C134" s="19">
        <v>48.3</v>
      </c>
      <c r="D134" s="149">
        <v>7.94</v>
      </c>
      <c r="E134" s="61">
        <v>8.083738547954054</v>
      </c>
      <c r="F134" s="60">
        <f t="shared" si="5"/>
        <v>1.8103091681870732E-2</v>
      </c>
      <c r="G134" s="59"/>
      <c r="H134" s="140">
        <v>0.37807142857142856</v>
      </c>
      <c r="I134" s="59">
        <v>8.1999999999999993</v>
      </c>
      <c r="J134" s="151">
        <v>7.4062745886789267</v>
      </c>
      <c r="K134" s="60">
        <f>(ABS(I134-J134))/I134</f>
        <v>9.6795781868423483E-2</v>
      </c>
      <c r="L134" s="59"/>
      <c r="M134" s="59"/>
      <c r="W134" s="56">
        <v>43798</v>
      </c>
      <c r="X134" s="21">
        <v>38.210526315789473</v>
      </c>
    </row>
    <row r="135" spans="3:25" x14ac:dyDescent="0.25">
      <c r="C135" s="19">
        <v>47.2</v>
      </c>
      <c r="D135" s="149">
        <v>8.5299999999999994</v>
      </c>
      <c r="E135" s="61">
        <v>9.1279926831919589</v>
      </c>
      <c r="F135" s="60">
        <f t="shared" si="5"/>
        <v>7.0104652191319991E-2</v>
      </c>
      <c r="G135" s="59"/>
      <c r="H135" s="140">
        <v>0.37309999999999993</v>
      </c>
      <c r="I135" s="59">
        <v>7.8</v>
      </c>
      <c r="J135" s="61">
        <v>7.2504353864224713</v>
      </c>
      <c r="K135" s="60">
        <f t="shared" ref="K135:K142" si="8">(ABS(I135-J135))/I135</f>
        <v>7.0457001740708791E-2</v>
      </c>
      <c r="L135" s="59"/>
      <c r="M135" s="59"/>
      <c r="W135" s="56">
        <v>43799</v>
      </c>
      <c r="X135" s="21">
        <v>40.909375000000004</v>
      </c>
    </row>
    <row r="136" spans="3:25" x14ac:dyDescent="0.25">
      <c r="C136" s="19">
        <v>48.3</v>
      </c>
      <c r="D136" s="149">
        <v>8.1199999999999992</v>
      </c>
      <c r="E136" s="61">
        <v>8.4601412866092414</v>
      </c>
      <c r="F136" s="60">
        <f t="shared" si="5"/>
        <v>4.1889321010990417E-2</v>
      </c>
      <c r="G136" s="59"/>
      <c r="H136" s="140">
        <v>0.38900000000000001</v>
      </c>
      <c r="I136" s="59">
        <v>6.9</v>
      </c>
      <c r="J136" s="61">
        <v>7.0424604921655396</v>
      </c>
      <c r="K136" s="60">
        <f t="shared" si="8"/>
        <v>2.0646448139933223E-2</v>
      </c>
      <c r="L136" s="59"/>
      <c r="M136" s="59"/>
      <c r="W136" s="56">
        <v>43800</v>
      </c>
      <c r="X136" s="21">
        <v>38.9</v>
      </c>
    </row>
    <row r="137" spans="3:25" x14ac:dyDescent="0.25">
      <c r="C137" s="19">
        <v>48.6</v>
      </c>
      <c r="D137" s="149">
        <v>8</v>
      </c>
      <c r="E137" s="61">
        <v>8.3302939294392644</v>
      </c>
      <c r="F137" s="60">
        <f t="shared" si="5"/>
        <v>4.1286741179908049E-2</v>
      </c>
      <c r="G137" s="59"/>
      <c r="H137" s="140">
        <v>0.38900000000000001</v>
      </c>
      <c r="I137" s="59">
        <v>6.7</v>
      </c>
      <c r="J137" s="188">
        <v>6.9212871410110823</v>
      </c>
      <c r="K137" s="60">
        <f t="shared" si="8"/>
        <v>3.3027931494191365E-2</v>
      </c>
      <c r="L137" s="59"/>
      <c r="M137" s="59"/>
      <c r="W137" s="56">
        <v>43801</v>
      </c>
      <c r="X137" s="21">
        <v>45.16</v>
      </c>
    </row>
    <row r="138" spans="3:25" x14ac:dyDescent="0.25">
      <c r="C138" s="19">
        <v>48.6</v>
      </c>
      <c r="D138" s="149">
        <v>8.43</v>
      </c>
      <c r="E138" s="61">
        <v>8.2405644665018478</v>
      </c>
      <c r="F138" s="60">
        <f t="shared" si="5"/>
        <v>2.2471593534774841E-2</v>
      </c>
      <c r="G138" s="59"/>
      <c r="H138" s="140">
        <v>0.38900000000000001</v>
      </c>
      <c r="I138" s="59">
        <v>6.9</v>
      </c>
      <c r="J138" s="61">
        <v>7.5619282167585293</v>
      </c>
      <c r="K138" s="60">
        <f t="shared" si="8"/>
        <v>9.5931625617178107E-2</v>
      </c>
      <c r="L138" s="59"/>
      <c r="M138" s="59"/>
      <c r="W138" s="56">
        <v>43802</v>
      </c>
      <c r="X138" s="21">
        <v>38.195238095238082</v>
      </c>
    </row>
    <row r="139" spans="3:25" x14ac:dyDescent="0.25">
      <c r="C139" s="19">
        <v>47.8</v>
      </c>
      <c r="D139" s="149">
        <v>8.08</v>
      </c>
      <c r="E139" s="61">
        <v>8.7650148270099457</v>
      </c>
      <c r="F139" s="60">
        <f t="shared" si="5"/>
        <v>8.4779062748755643E-2</v>
      </c>
      <c r="G139" s="59"/>
      <c r="H139" s="140">
        <v>0.38900000000000001</v>
      </c>
      <c r="I139" s="59">
        <v>7.5</v>
      </c>
      <c r="J139" s="151">
        <v>7.5965026747310951</v>
      </c>
      <c r="K139" s="60">
        <f t="shared" si="8"/>
        <v>1.2867023297479345E-2</v>
      </c>
      <c r="L139" s="144"/>
      <c r="M139" s="59"/>
      <c r="N139" s="51"/>
      <c r="W139" s="56">
        <v>43803</v>
      </c>
      <c r="X139" s="21">
        <v>40.263157894736842</v>
      </c>
    </row>
    <row r="140" spans="3:25" x14ac:dyDescent="0.25">
      <c r="C140" s="19">
        <v>48.8</v>
      </c>
      <c r="D140" s="149">
        <v>8.1199999999999992</v>
      </c>
      <c r="E140" s="61">
        <v>8.493697432269764</v>
      </c>
      <c r="F140" s="60">
        <f t="shared" si="5"/>
        <v>4.6021851264749364E-2</v>
      </c>
      <c r="G140" s="59"/>
      <c r="H140" s="140">
        <v>0.38195238095238082</v>
      </c>
      <c r="I140" s="59">
        <v>7.9</v>
      </c>
      <c r="J140" s="151">
        <v>7.503675247977708</v>
      </c>
      <c r="K140" s="60">
        <f t="shared" si="8"/>
        <v>5.0167690129404093E-2</v>
      </c>
      <c r="L140" s="140"/>
      <c r="M140" s="59"/>
      <c r="W140" s="56">
        <v>43804</v>
      </c>
      <c r="X140" s="21">
        <v>42.086666666666666</v>
      </c>
    </row>
    <row r="141" spans="3:25" x14ac:dyDescent="0.25">
      <c r="C141" s="59"/>
      <c r="D141" s="153">
        <f>AVERAGE(D104:D140)</f>
        <v>8.4056756756756776</v>
      </c>
      <c r="E141" s="153">
        <f>AVERAGE(E104:E140)</f>
        <v>8.4350863829633056</v>
      </c>
      <c r="F141" s="160">
        <f>AVERAGE(F104:F140)</f>
        <v>5.7584191866976976E-2</v>
      </c>
      <c r="G141" s="59"/>
      <c r="H141" s="140">
        <v>0.38195238095238082</v>
      </c>
      <c r="I141" s="59">
        <v>7.3</v>
      </c>
      <c r="J141" s="151">
        <v>7.6168155282491838</v>
      </c>
      <c r="K141" s="60">
        <f t="shared" si="8"/>
        <v>4.339938743139507E-2</v>
      </c>
      <c r="L141" s="59"/>
      <c r="M141" s="59"/>
      <c r="W141" s="56">
        <v>43805</v>
      </c>
      <c r="X141" s="21">
        <v>43.118181818181817</v>
      </c>
    </row>
    <row r="142" spans="3:25" x14ac:dyDescent="0.25">
      <c r="C142" s="59"/>
      <c r="D142" s="59"/>
      <c r="E142" s="60">
        <f>ABS((D141-E141)/D141)</f>
        <v>3.4989105483496808E-3</v>
      </c>
      <c r="F142" s="60"/>
      <c r="G142" s="59"/>
      <c r="H142" s="140">
        <v>0.42599999999999999</v>
      </c>
      <c r="I142" s="59">
        <v>8.3000000000000007</v>
      </c>
      <c r="J142" s="61">
        <v>8.3981986261369652</v>
      </c>
      <c r="K142" s="60">
        <f t="shared" si="8"/>
        <v>1.1831159775537892E-2</v>
      </c>
      <c r="L142" s="59"/>
      <c r="M142" s="59"/>
      <c r="W142" s="56">
        <v>43806</v>
      </c>
      <c r="X142" s="21">
        <v>43.118181818181817</v>
      </c>
    </row>
    <row r="143" spans="3:25" x14ac:dyDescent="0.25">
      <c r="C143" s="59"/>
      <c r="D143" s="59"/>
      <c r="E143" s="59"/>
      <c r="F143" s="59"/>
      <c r="G143" s="59"/>
      <c r="H143" s="140">
        <f>AVERAGE(H134:H142)</f>
        <v>0.38856402116402111</v>
      </c>
      <c r="I143" s="153">
        <f>AVERAGE(I134:I142)</f>
        <v>7.5</v>
      </c>
      <c r="J143" s="153">
        <f t="shared" ref="J143:K143" si="9">AVERAGE(J134:J142)</f>
        <v>7.4775086557923895</v>
      </c>
      <c r="K143" s="160">
        <f t="shared" si="9"/>
        <v>4.8347116610472377E-2</v>
      </c>
      <c r="L143" s="59"/>
      <c r="M143" s="59"/>
      <c r="W143" s="56">
        <v>43807</v>
      </c>
      <c r="X143" s="21">
        <v>43.118181818181817</v>
      </c>
    </row>
    <row r="144" spans="3:25" x14ac:dyDescent="0.25">
      <c r="C144" s="59"/>
      <c r="D144" s="59"/>
      <c r="E144" s="59"/>
      <c r="F144" s="59"/>
      <c r="G144" s="59"/>
      <c r="H144" s="59"/>
      <c r="I144" s="59"/>
      <c r="J144" s="60">
        <f>ABS((I143-J143)/I143)</f>
        <v>2.9988458943480604E-3</v>
      </c>
      <c r="L144" s="59"/>
      <c r="M144" s="59"/>
      <c r="W144" s="56">
        <v>43808</v>
      </c>
      <c r="X144" s="21">
        <v>41.3</v>
      </c>
    </row>
    <row r="145" spans="3:24" x14ac:dyDescent="0.25">
      <c r="C145" s="59"/>
      <c r="D145" s="59"/>
      <c r="E145" s="59"/>
      <c r="F145" s="59"/>
      <c r="G145" s="59"/>
      <c r="H145" s="58" t="s">
        <v>382</v>
      </c>
      <c r="I145" s="59"/>
      <c r="J145" s="59"/>
      <c r="K145" s="59"/>
      <c r="L145" s="59"/>
      <c r="M145" s="59"/>
      <c r="W145" s="56">
        <v>43809</v>
      </c>
      <c r="X145" s="21">
        <v>44.512500000000003</v>
      </c>
    </row>
    <row r="146" spans="3:24" ht="18" x14ac:dyDescent="0.35">
      <c r="C146" s="59"/>
      <c r="D146" s="59"/>
      <c r="E146" s="59"/>
      <c r="F146" s="59"/>
      <c r="G146" s="59"/>
      <c r="H146" s="58" t="s">
        <v>373</v>
      </c>
      <c r="I146" s="59" t="s">
        <v>368</v>
      </c>
      <c r="J146" s="60" t="s">
        <v>369</v>
      </c>
      <c r="K146" s="59"/>
      <c r="L146" s="59"/>
      <c r="M146" s="59"/>
      <c r="W146" s="56">
        <v>43810</v>
      </c>
      <c r="X146" s="21">
        <v>45.284615384615385</v>
      </c>
    </row>
    <row r="147" spans="3:24" x14ac:dyDescent="0.25">
      <c r="C147" s="59"/>
      <c r="D147" s="59"/>
      <c r="E147" s="59"/>
      <c r="F147" s="59"/>
      <c r="G147" s="59"/>
      <c r="H147" s="140">
        <v>0.29916666666666669</v>
      </c>
      <c r="I147" s="59">
        <v>6.1</v>
      </c>
      <c r="J147" s="61">
        <v>5.753303625285791</v>
      </c>
      <c r="K147" s="60">
        <f>(ABS(I147-J147))/I147</f>
        <v>5.6835471264624376E-2</v>
      </c>
      <c r="L147" s="59"/>
      <c r="M147" s="59"/>
      <c r="W147" s="56">
        <v>43811</v>
      </c>
      <c r="X147" s="21">
        <v>48.775000000000006</v>
      </c>
    </row>
    <row r="148" spans="3:24" x14ac:dyDescent="0.25">
      <c r="C148" s="59"/>
      <c r="D148" s="59"/>
      <c r="E148" s="59"/>
      <c r="F148" s="59"/>
      <c r="G148" s="59"/>
      <c r="H148" s="140">
        <v>0.37309999999999993</v>
      </c>
      <c r="I148" s="59">
        <v>7</v>
      </c>
      <c r="J148" s="61">
        <v>7.1967139253885115</v>
      </c>
      <c r="K148" s="60">
        <f t="shared" ref="K148:K152" si="10">(ABS(I148-J148))/I148</f>
        <v>2.8101989341215931E-2</v>
      </c>
      <c r="L148" s="59"/>
      <c r="M148" s="59"/>
      <c r="W148" s="56">
        <v>43812</v>
      </c>
      <c r="X148" s="21">
        <v>43.62222222222222</v>
      </c>
    </row>
    <row r="149" spans="3:24" x14ac:dyDescent="0.25">
      <c r="C149" s="59"/>
      <c r="D149" s="59"/>
      <c r="E149" s="59"/>
      <c r="F149" s="59"/>
      <c r="G149" s="59"/>
      <c r="H149" s="140">
        <v>0.38900000000000001</v>
      </c>
      <c r="I149" s="59">
        <v>6.5</v>
      </c>
      <c r="J149" s="61">
        <v>6.5548500734226609</v>
      </c>
      <c r="K149" s="60">
        <f t="shared" si="10"/>
        <v>8.4384728342555247E-3</v>
      </c>
      <c r="L149" s="61"/>
      <c r="M149" s="59"/>
      <c r="W149" s="56">
        <v>43813</v>
      </c>
      <c r="X149" s="21">
        <v>43.62222222222222</v>
      </c>
    </row>
    <row r="150" spans="3:24" x14ac:dyDescent="0.25">
      <c r="C150" s="59"/>
      <c r="D150" s="59"/>
      <c r="E150" s="59"/>
      <c r="F150" s="59"/>
      <c r="G150" s="59"/>
      <c r="H150" s="140">
        <v>0.42700000000000005</v>
      </c>
      <c r="I150" s="59">
        <v>7.91</v>
      </c>
      <c r="J150" s="61">
        <v>8.1499551127137728</v>
      </c>
      <c r="K150" s="60">
        <f t="shared" si="10"/>
        <v>3.0335665324117911E-2</v>
      </c>
      <c r="L150" s="59"/>
      <c r="M150" s="59"/>
      <c r="W150" s="56">
        <v>43814</v>
      </c>
      <c r="X150" s="21">
        <v>43.62222222222222</v>
      </c>
    </row>
    <row r="151" spans="3:24" x14ac:dyDescent="0.25">
      <c r="C151" s="59"/>
      <c r="D151" s="59"/>
      <c r="E151" s="59"/>
      <c r="F151" s="59"/>
      <c r="G151" s="59"/>
      <c r="H151" s="140">
        <v>0.434</v>
      </c>
      <c r="I151" s="59">
        <v>8.8000000000000007</v>
      </c>
      <c r="J151" s="61">
        <v>8.2045760874963989</v>
      </c>
      <c r="K151" s="60">
        <f t="shared" si="10"/>
        <v>6.7661808239045662E-2</v>
      </c>
      <c r="L151" s="59"/>
      <c r="M151" s="59"/>
      <c r="W151" s="56">
        <v>43815</v>
      </c>
      <c r="X151" s="21">
        <v>43.62222222222222</v>
      </c>
    </row>
    <row r="152" spans="3:24" x14ac:dyDescent="0.25">
      <c r="C152" s="59"/>
      <c r="D152" s="59"/>
      <c r="E152" s="59"/>
      <c r="F152" s="59"/>
      <c r="G152" s="59"/>
      <c r="H152" s="140">
        <v>0.434</v>
      </c>
      <c r="I152" s="59">
        <v>9.2100000000000009</v>
      </c>
      <c r="J152" s="61">
        <v>8.2002915344959462</v>
      </c>
      <c r="K152" s="60">
        <f t="shared" si="10"/>
        <v>0.10963175521216663</v>
      </c>
      <c r="L152" s="59"/>
      <c r="M152" s="59"/>
      <c r="W152" s="56">
        <v>43816</v>
      </c>
      <c r="X152" s="21">
        <v>43.62222222222222</v>
      </c>
    </row>
    <row r="153" spans="3:24" x14ac:dyDescent="0.25">
      <c r="C153" s="59"/>
      <c r="D153" s="59"/>
      <c r="E153" s="59"/>
      <c r="F153" s="59"/>
      <c r="G153" s="59"/>
      <c r="H153" s="59"/>
      <c r="I153" s="153">
        <f>AVERAGE(I147:I152)</f>
        <v>7.5866666666666669</v>
      </c>
      <c r="J153" s="153">
        <f t="shared" ref="J153:K153" si="11">AVERAGE(J147:J152)</f>
        <v>7.3432817264671799</v>
      </c>
      <c r="K153" s="160">
        <f t="shared" si="11"/>
        <v>5.0167527035904345E-2</v>
      </c>
      <c r="L153" s="59"/>
      <c r="M153" s="59"/>
    </row>
    <row r="154" spans="3:24" x14ac:dyDescent="0.25">
      <c r="C154" s="59"/>
      <c r="D154" s="59"/>
      <c r="E154" s="59"/>
      <c r="F154" s="59"/>
      <c r="G154" s="59"/>
      <c r="H154" s="59"/>
      <c r="I154" s="59"/>
      <c r="J154" s="60">
        <f>ABS((I153-J153)/I153)</f>
        <v>3.2080616019264541E-2</v>
      </c>
      <c r="L154" s="59"/>
      <c r="M154" s="60"/>
    </row>
    <row r="155" spans="3:24" x14ac:dyDescent="0.25">
      <c r="C155" s="59"/>
      <c r="D155" s="59"/>
      <c r="E155" s="59"/>
      <c r="F155" s="59"/>
      <c r="G155" s="59"/>
      <c r="H155" s="58" t="s">
        <v>383</v>
      </c>
      <c r="I155" s="59"/>
      <c r="J155" s="59"/>
      <c r="K155" s="59"/>
      <c r="L155" s="59"/>
      <c r="M155" s="60"/>
    </row>
    <row r="156" spans="3:24" ht="18" x14ac:dyDescent="0.35">
      <c r="C156" s="59"/>
      <c r="D156" s="59"/>
      <c r="E156" s="59"/>
      <c r="F156" s="59"/>
      <c r="G156" s="59"/>
      <c r="H156" s="58" t="s">
        <v>373</v>
      </c>
      <c r="I156" s="59" t="s">
        <v>368</v>
      </c>
      <c r="J156" s="60" t="s">
        <v>369</v>
      </c>
      <c r="K156" s="59"/>
      <c r="L156" s="59"/>
      <c r="M156" s="60"/>
    </row>
    <row r="157" spans="3:24" x14ac:dyDescent="0.25">
      <c r="C157" s="59"/>
      <c r="D157" s="59"/>
      <c r="E157" s="59"/>
      <c r="F157" s="59"/>
      <c r="G157" s="59"/>
      <c r="H157" s="59">
        <v>0.42700000000000005</v>
      </c>
      <c r="I157" s="59">
        <v>7.71</v>
      </c>
      <c r="J157" s="61">
        <v>8.25893354915355</v>
      </c>
      <c r="K157" s="60">
        <f>(ABS(I157-J157))/I157</f>
        <v>7.1197606894105064E-2</v>
      </c>
      <c r="L157" s="59"/>
      <c r="M157" s="60"/>
    </row>
    <row r="158" spans="3:24" x14ac:dyDescent="0.25">
      <c r="C158" s="59"/>
      <c r="D158" s="59"/>
      <c r="E158" s="59"/>
      <c r="F158" s="59"/>
      <c r="G158" s="59"/>
      <c r="H158" s="61">
        <v>0.44500000000000001</v>
      </c>
      <c r="I158" s="59">
        <v>8.5299999999999994</v>
      </c>
      <c r="J158" s="61">
        <v>9.1279926831919589</v>
      </c>
      <c r="K158" s="60">
        <f>(ABS(I158-J158))/I158</f>
        <v>7.0104652191319991E-2</v>
      </c>
      <c r="L158" s="59"/>
      <c r="M158" s="60"/>
    </row>
    <row r="159" spans="3:24" x14ac:dyDescent="0.25">
      <c r="C159" s="59"/>
      <c r="D159" s="59"/>
      <c r="E159" s="59"/>
      <c r="F159" s="59"/>
      <c r="G159" s="59"/>
      <c r="H159" s="59"/>
      <c r="I159" s="153">
        <f>AVERAGE(I157:I158)</f>
        <v>8.1199999999999992</v>
      </c>
      <c r="J159" s="153">
        <f t="shared" ref="J159:K159" si="12">AVERAGE(J157:J158)</f>
        <v>8.6934631161727545</v>
      </c>
      <c r="K159" s="160">
        <f t="shared" si="12"/>
        <v>7.0651129542712521E-2</v>
      </c>
      <c r="L159" s="59"/>
      <c r="M159" s="60"/>
      <c r="O159" s="51"/>
    </row>
    <row r="160" spans="3:24" x14ac:dyDescent="0.25">
      <c r="C160" s="59"/>
      <c r="D160" s="59"/>
      <c r="E160" s="59"/>
      <c r="F160" s="59"/>
      <c r="G160" s="59"/>
      <c r="J160" s="60">
        <f>ABS((I159-J159)/I159)</f>
        <v>7.062353647447725E-2</v>
      </c>
      <c r="L160" s="59"/>
      <c r="M160" s="60"/>
      <c r="O160" s="57"/>
    </row>
    <row r="161" spans="3:13" x14ac:dyDescent="0.25">
      <c r="C161" s="59"/>
      <c r="D161" s="59"/>
      <c r="E161" s="59"/>
      <c r="F161" s="59"/>
      <c r="G161" s="59"/>
      <c r="H161" s="58" t="s">
        <v>384</v>
      </c>
      <c r="I161" s="59"/>
      <c r="J161" s="59"/>
      <c r="K161" s="59"/>
      <c r="L161" s="59"/>
      <c r="M161" s="60"/>
    </row>
    <row r="162" spans="3:13" ht="18" x14ac:dyDescent="0.35">
      <c r="C162" s="59"/>
      <c r="D162" s="59"/>
      <c r="E162" s="59"/>
      <c r="F162" s="59"/>
      <c r="G162" s="59"/>
      <c r="H162" s="58" t="s">
        <v>373</v>
      </c>
      <c r="I162" s="59" t="s">
        <v>368</v>
      </c>
      <c r="J162" s="60" t="s">
        <v>369</v>
      </c>
      <c r="K162" s="59"/>
      <c r="L162" s="59"/>
      <c r="M162" s="60"/>
    </row>
    <row r="163" spans="3:13" x14ac:dyDescent="0.25">
      <c r="C163" s="59"/>
      <c r="D163" s="59"/>
      <c r="E163" s="59"/>
      <c r="F163" s="59"/>
      <c r="G163" s="59"/>
      <c r="H163" s="59">
        <v>0.44500000000000001</v>
      </c>
      <c r="I163" s="59">
        <v>7.94</v>
      </c>
      <c r="J163" s="61">
        <v>8.083738547954054</v>
      </c>
      <c r="K163" s="60">
        <f>(ABS(I163-J163))/I163</f>
        <v>1.8103091681870732E-2</v>
      </c>
      <c r="L163" s="59"/>
      <c r="M163" s="60"/>
    </row>
    <row r="164" spans="3:13" x14ac:dyDescent="0.25">
      <c r="C164" s="59"/>
      <c r="D164" s="59"/>
      <c r="E164" s="59"/>
      <c r="F164" s="59"/>
      <c r="G164" s="59"/>
      <c r="H164" s="59">
        <v>0.42200000000000004</v>
      </c>
      <c r="I164" s="59">
        <v>8.1199999999999992</v>
      </c>
      <c r="J164" s="61">
        <v>8.4601412866092414</v>
      </c>
      <c r="K164" s="60">
        <f t="shared" ref="K164:K168" si="13">(ABS(I164-J164))/I164</f>
        <v>4.1889321010990417E-2</v>
      </c>
      <c r="L164" s="59"/>
      <c r="M164" s="59"/>
    </row>
    <row r="165" spans="3:13" x14ac:dyDescent="0.25">
      <c r="C165" s="59"/>
      <c r="D165" s="59"/>
      <c r="E165" s="59"/>
      <c r="F165" s="59"/>
      <c r="G165" s="59"/>
      <c r="H165" s="59">
        <v>0.441</v>
      </c>
      <c r="I165" s="59">
        <v>8</v>
      </c>
      <c r="J165" s="61">
        <v>8.3302939294392644</v>
      </c>
      <c r="K165" s="60">
        <f t="shared" si="13"/>
        <v>4.1286741179908049E-2</v>
      </c>
      <c r="L165" s="59"/>
      <c r="M165" s="59"/>
    </row>
    <row r="166" spans="3:13" x14ac:dyDescent="0.25">
      <c r="C166" s="59"/>
      <c r="D166" s="59"/>
      <c r="E166" s="59"/>
      <c r="F166" s="59"/>
      <c r="G166" s="59"/>
      <c r="H166" s="59">
        <v>0.42599999999999999</v>
      </c>
      <c r="I166" s="19">
        <v>8.43</v>
      </c>
      <c r="J166" s="51">
        <v>8.2405644665018478</v>
      </c>
      <c r="K166" s="60">
        <f t="shared" si="13"/>
        <v>2.2471593534774841E-2</v>
      </c>
      <c r="L166" s="59"/>
      <c r="M166" s="59"/>
    </row>
    <row r="167" spans="3:13" x14ac:dyDescent="0.25">
      <c r="C167" s="59"/>
      <c r="D167" s="59"/>
      <c r="E167" s="59"/>
      <c r="F167" s="59"/>
      <c r="G167" s="59"/>
      <c r="H167" s="59">
        <v>0.441</v>
      </c>
      <c r="I167" s="59">
        <v>8.08</v>
      </c>
      <c r="J167" s="61">
        <v>8.7650148270099457</v>
      </c>
      <c r="K167" s="60">
        <f t="shared" si="13"/>
        <v>8.4779062748755643E-2</v>
      </c>
      <c r="L167" s="59"/>
      <c r="M167" s="59"/>
    </row>
    <row r="168" spans="3:13" x14ac:dyDescent="0.25">
      <c r="C168" s="59"/>
      <c r="D168" s="59"/>
      <c r="E168" s="59"/>
      <c r="F168" s="59"/>
      <c r="G168" s="59"/>
      <c r="H168" s="59">
        <v>0.43200000000000005</v>
      </c>
      <c r="I168" s="59">
        <v>8.1199999999999992</v>
      </c>
      <c r="J168" s="61">
        <v>8.493697432269764</v>
      </c>
      <c r="K168" s="60">
        <f t="shared" si="13"/>
        <v>4.6021851264749364E-2</v>
      </c>
      <c r="L168" s="59"/>
      <c r="M168" s="59"/>
    </row>
    <row r="169" spans="3:13" x14ac:dyDescent="0.25">
      <c r="C169" s="59"/>
      <c r="D169" s="59"/>
      <c r="E169" s="59"/>
      <c r="F169" s="59"/>
      <c r="G169" s="59"/>
      <c r="H169" s="59"/>
      <c r="I169" s="153">
        <f>AVERAGE(I163:I168)</f>
        <v>8.1149999999999984</v>
      </c>
      <c r="J169" s="153">
        <f>AVERAGE(J163:J168)</f>
        <v>8.3955750816306853</v>
      </c>
      <c r="K169" s="160">
        <f>AVERAGE(K163:K168)</f>
        <v>4.2425276903508169E-2</v>
      </c>
      <c r="L169" s="59"/>
      <c r="M169" s="59"/>
    </row>
    <row r="170" spans="3:13" x14ac:dyDescent="0.25">
      <c r="C170" s="59"/>
      <c r="D170" s="59"/>
      <c r="E170" s="59"/>
      <c r="F170" s="59"/>
      <c r="G170" s="59"/>
      <c r="H170" s="59"/>
      <c r="I170" s="59"/>
      <c r="J170" s="60">
        <f>ABS((I169-J169)/I169)</f>
        <v>3.4574871427071711E-2</v>
      </c>
      <c r="L170" s="59"/>
      <c r="M170" s="59"/>
    </row>
    <row r="171" spans="3:13" x14ac:dyDescent="0.25">
      <c r="C171" s="59"/>
      <c r="D171" s="59"/>
      <c r="E171" s="59"/>
      <c r="F171" s="59"/>
      <c r="G171" s="59"/>
      <c r="H171" s="59"/>
      <c r="I171" s="59"/>
      <c r="J171" s="59"/>
      <c r="K171" s="59"/>
      <c r="L171" s="59"/>
      <c r="M171" s="59"/>
    </row>
    <row r="172" spans="3:13" x14ac:dyDescent="0.25">
      <c r="C172" s="59"/>
      <c r="D172" s="59"/>
      <c r="E172" s="59"/>
      <c r="F172" s="59"/>
      <c r="G172" s="59"/>
      <c r="H172" s="59"/>
      <c r="I172" s="59"/>
      <c r="J172" s="59"/>
      <c r="K172" s="59"/>
      <c r="L172" s="59"/>
      <c r="M172" s="59"/>
    </row>
    <row r="173" spans="3:13" x14ac:dyDescent="0.25">
      <c r="C173" s="59"/>
      <c r="D173" s="59"/>
      <c r="E173" s="59"/>
      <c r="F173" s="59"/>
      <c r="G173" s="59"/>
      <c r="H173" s="59"/>
      <c r="I173" s="59"/>
      <c r="J173" s="59"/>
      <c r="K173" s="59"/>
      <c r="L173" s="59"/>
      <c r="M173" s="59"/>
    </row>
    <row r="174" spans="3:13" x14ac:dyDescent="0.25">
      <c r="C174" s="59"/>
      <c r="D174" s="59"/>
      <c r="E174" s="59"/>
      <c r="F174" s="59"/>
      <c r="G174" s="59"/>
      <c r="H174" s="59"/>
      <c r="I174" s="61"/>
      <c r="J174" s="59"/>
      <c r="K174" s="59"/>
      <c r="L174" s="59"/>
      <c r="M174" s="59"/>
    </row>
    <row r="175" spans="3:13" x14ac:dyDescent="0.25">
      <c r="C175" s="59"/>
      <c r="D175" s="59"/>
      <c r="E175" s="59"/>
      <c r="F175" s="59"/>
      <c r="G175" s="140"/>
      <c r="H175" s="59"/>
      <c r="I175" s="60"/>
      <c r="J175" s="59"/>
      <c r="K175" s="59"/>
      <c r="L175" s="59"/>
      <c r="M175" s="59"/>
    </row>
    <row r="176" spans="3:13" x14ac:dyDescent="0.25">
      <c r="C176" s="59"/>
      <c r="D176" s="59"/>
      <c r="E176" s="59"/>
      <c r="F176" s="59"/>
      <c r="G176" s="140"/>
      <c r="J176" s="59"/>
      <c r="K176" s="59"/>
      <c r="L176" s="59"/>
      <c r="M176" s="59"/>
    </row>
    <row r="177" spans="3:15" x14ac:dyDescent="0.25">
      <c r="C177" s="59"/>
      <c r="D177" s="59"/>
      <c r="E177" s="59"/>
      <c r="F177" s="59"/>
      <c r="G177" s="140"/>
      <c r="J177" s="59"/>
      <c r="K177" s="59"/>
      <c r="L177" s="59"/>
      <c r="M177" s="59"/>
    </row>
    <row r="178" spans="3:15" x14ac:dyDescent="0.25">
      <c r="C178" s="59"/>
      <c r="D178" s="59"/>
      <c r="E178" s="59"/>
      <c r="F178" s="59"/>
      <c r="G178" s="140"/>
      <c r="J178" s="59"/>
      <c r="K178" s="59"/>
      <c r="L178" s="59"/>
      <c r="M178" s="59"/>
      <c r="N178" s="51"/>
    </row>
    <row r="179" spans="3:15" x14ac:dyDescent="0.25">
      <c r="C179" s="59"/>
      <c r="D179" s="59"/>
      <c r="E179" s="59"/>
      <c r="F179" s="59"/>
      <c r="G179" s="140"/>
      <c r="J179" s="59"/>
      <c r="K179" s="59"/>
      <c r="L179" s="59"/>
      <c r="M179" s="59"/>
      <c r="N179" s="57"/>
    </row>
    <row r="180" spans="3:15" x14ac:dyDescent="0.25">
      <c r="C180" s="59"/>
      <c r="D180" s="59"/>
      <c r="E180" s="59"/>
      <c r="F180" s="59"/>
      <c r="G180" s="140"/>
      <c r="J180" s="59"/>
      <c r="K180" s="61"/>
      <c r="L180" s="59"/>
      <c r="M180" s="59"/>
    </row>
    <row r="181" spans="3:15" x14ac:dyDescent="0.25">
      <c r="C181" s="59"/>
      <c r="D181" s="59"/>
      <c r="E181" s="59"/>
      <c r="F181" s="59"/>
      <c r="G181" s="140"/>
      <c r="J181" s="59"/>
      <c r="K181" s="60"/>
      <c r="L181" s="59"/>
      <c r="M181" s="59"/>
    </row>
    <row r="182" spans="3:15" x14ac:dyDescent="0.25">
      <c r="E182" s="59"/>
      <c r="F182" s="59"/>
      <c r="G182" s="140"/>
      <c r="J182" s="59"/>
      <c r="K182" s="59"/>
      <c r="L182" s="61"/>
      <c r="M182" s="59"/>
    </row>
    <row r="183" spans="3:15" x14ac:dyDescent="0.25">
      <c r="E183" s="59"/>
      <c r="F183" s="59"/>
      <c r="G183" s="140"/>
      <c r="J183" s="59"/>
      <c r="K183" s="59"/>
      <c r="L183" s="60"/>
      <c r="M183" s="59"/>
    </row>
    <row r="184" spans="3:15" x14ac:dyDescent="0.25">
      <c r="E184" s="59"/>
      <c r="F184" s="60"/>
      <c r="G184" s="59"/>
      <c r="J184" s="59"/>
      <c r="K184" s="59"/>
      <c r="L184" s="59"/>
      <c r="M184" s="59"/>
    </row>
    <row r="185" spans="3:15" x14ac:dyDescent="0.25">
      <c r="E185" s="59"/>
      <c r="F185" s="59"/>
      <c r="G185" s="59"/>
      <c r="J185" s="59"/>
      <c r="K185" s="59"/>
      <c r="L185" s="59"/>
      <c r="M185" s="59"/>
      <c r="O185" s="51"/>
    </row>
    <row r="186" spans="3:15" x14ac:dyDescent="0.25">
      <c r="F186" s="59"/>
      <c r="G186" s="59"/>
      <c r="L186" s="59"/>
      <c r="M186" s="59"/>
      <c r="O186" s="57"/>
    </row>
    <row r="187" spans="3:15" x14ac:dyDescent="0.25">
      <c r="F187" s="59"/>
      <c r="G187" s="59"/>
      <c r="L187" s="59"/>
      <c r="M187" s="59"/>
    </row>
  </sheetData>
  <sortState ref="C3:K53">
    <sortCondition ref="C3:C53"/>
  </sortState>
  <pageMargins left="0.7" right="0.7" top="0.75" bottom="0.75" header="0.3" footer="0.3"/>
  <pageSetup orientation="portrait" r:id="rId1"/>
  <tableParts count="1">
    <tablePart r:id="rId2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23:AJ53"/>
  <sheetViews>
    <sheetView zoomScale="80" zoomScaleNormal="80" workbookViewId="0">
      <selection activeCell="X54" sqref="X54"/>
    </sheetView>
  </sheetViews>
  <sheetFormatPr defaultRowHeight="15" x14ac:dyDescent="0.25"/>
  <cols>
    <col min="1" max="2" width="3.69921875" style="1" customWidth="1"/>
    <col min="3" max="3" width="4.3984375" style="1" customWidth="1"/>
    <col min="4" max="33" width="3.69921875" style="1" customWidth="1"/>
    <col min="34" max="16384" width="8.796875" style="1"/>
  </cols>
  <sheetData>
    <row r="23" spans="1:36" x14ac:dyDescent="0.25">
      <c r="E23" s="27"/>
      <c r="F23" s="27"/>
      <c r="G23" s="27"/>
    </row>
    <row r="24" spans="1:36" x14ac:dyDescent="0.25">
      <c r="B24" s="27"/>
      <c r="C24" s="63"/>
      <c r="D24" s="27"/>
      <c r="E24" s="27"/>
      <c r="F24" s="27"/>
      <c r="G24" s="27"/>
      <c r="H24" s="63"/>
      <c r="I24" s="63"/>
      <c r="Q24" s="67"/>
    </row>
    <row r="25" spans="1:36" x14ac:dyDescent="0.25">
      <c r="A25" s="27"/>
      <c r="B25" s="27"/>
      <c r="C25" s="63"/>
      <c r="D25" s="27"/>
      <c r="E25" s="27"/>
      <c r="F25" s="27"/>
      <c r="G25" s="27"/>
      <c r="H25" s="63"/>
      <c r="I25" s="63"/>
      <c r="J25" s="27"/>
      <c r="K25" s="27"/>
      <c r="L25" s="27"/>
      <c r="M25" s="27"/>
      <c r="N25" s="27"/>
      <c r="O25" s="27"/>
      <c r="P25" s="27"/>
      <c r="Q25" s="63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67"/>
    </row>
    <row r="26" spans="1:36" x14ac:dyDescent="0.25">
      <c r="A26" s="27"/>
      <c r="B26" s="27"/>
      <c r="C26" s="63"/>
      <c r="D26" s="27"/>
      <c r="E26" s="27"/>
      <c r="F26" s="27"/>
      <c r="G26" s="27"/>
      <c r="H26" s="64"/>
      <c r="I26" s="63"/>
      <c r="J26" s="27"/>
      <c r="K26" s="27"/>
      <c r="L26" s="27"/>
      <c r="M26" s="27"/>
      <c r="N26" s="27"/>
      <c r="O26" s="27"/>
      <c r="P26" s="27"/>
      <c r="Q26" s="63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63"/>
      <c r="AC26" s="63"/>
    </row>
    <row r="27" spans="1:36" x14ac:dyDescent="0.25">
      <c r="A27" s="27"/>
      <c r="B27" s="27"/>
      <c r="C27" s="63"/>
      <c r="D27" s="27"/>
      <c r="E27" s="27"/>
      <c r="F27" s="27"/>
      <c r="G27" s="27"/>
      <c r="H27" s="64"/>
      <c r="I27" s="63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63"/>
      <c r="AC27" s="65"/>
    </row>
    <row r="28" spans="1:36" x14ac:dyDescent="0.25">
      <c r="A28" s="27"/>
      <c r="B28" s="27"/>
      <c r="C28" s="63"/>
      <c r="D28" s="27"/>
      <c r="E28" s="27"/>
      <c r="F28" s="27"/>
      <c r="G28" s="27"/>
      <c r="H28" s="63"/>
      <c r="I28" s="63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66"/>
      <c r="AC28" s="66"/>
    </row>
    <row r="29" spans="1:36" x14ac:dyDescent="0.25">
      <c r="A29" s="27"/>
      <c r="B29" s="27"/>
      <c r="C29" s="63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66"/>
      <c r="AC29" s="66"/>
    </row>
    <row r="30" spans="1:36" x14ac:dyDescent="0.25">
      <c r="A30" s="27"/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66"/>
      <c r="AC30" s="66"/>
    </row>
    <row r="31" spans="1:36" x14ac:dyDescent="0.25">
      <c r="A31" s="27"/>
      <c r="B31" s="27"/>
      <c r="C31" s="27"/>
      <c r="D31" s="27"/>
      <c r="E31" s="27"/>
      <c r="F31" s="63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C31" s="63"/>
      <c r="AJ31" s="63"/>
    </row>
    <row r="32" spans="1:36" x14ac:dyDescent="0.25">
      <c r="A32" s="27"/>
      <c r="B32" s="27"/>
      <c r="C32" s="63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</row>
    <row r="33" spans="1:34" x14ac:dyDescent="0.25">
      <c r="A33" s="27"/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</row>
    <row r="34" spans="1:34" x14ac:dyDescent="0.25">
      <c r="A34" s="27"/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</row>
    <row r="35" spans="1:34" x14ac:dyDescent="0.25">
      <c r="A35" s="27"/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</row>
    <row r="36" spans="1:34" x14ac:dyDescent="0.25">
      <c r="A36" s="27"/>
      <c r="B36" s="27"/>
      <c r="C36" s="27"/>
      <c r="D36" s="27"/>
      <c r="E36" s="27"/>
      <c r="F36" s="27"/>
      <c r="G36" s="27"/>
      <c r="H36" s="27"/>
      <c r="I36" s="63"/>
      <c r="J36" s="63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</row>
    <row r="37" spans="1:34" x14ac:dyDescent="0.25">
      <c r="A37" s="27"/>
      <c r="B37" s="27"/>
      <c r="C37" s="27"/>
      <c r="D37" s="27"/>
      <c r="E37" s="27"/>
      <c r="F37" s="27"/>
      <c r="G37" s="27"/>
      <c r="H37" s="27"/>
      <c r="I37" s="63"/>
      <c r="J37" s="65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</row>
    <row r="38" spans="1:34" x14ac:dyDescent="0.25">
      <c r="A38" s="27"/>
      <c r="B38" s="27"/>
      <c r="C38" s="27"/>
      <c r="D38" s="27"/>
      <c r="E38" s="63"/>
      <c r="F38" s="63"/>
      <c r="G38" s="27"/>
      <c r="H38" s="27"/>
      <c r="I38" s="216"/>
      <c r="J38" s="216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D38" s="63"/>
      <c r="AE38" s="67"/>
      <c r="AF38" s="67"/>
      <c r="AG38" s="67"/>
      <c r="AH38" s="67"/>
    </row>
    <row r="39" spans="1:34" x14ac:dyDescent="0.25">
      <c r="A39" s="27"/>
      <c r="B39" s="27"/>
      <c r="C39" s="27"/>
      <c r="D39" s="27"/>
      <c r="E39" s="63"/>
      <c r="F39" s="63"/>
      <c r="G39" s="27"/>
      <c r="H39" s="27"/>
      <c r="I39" s="216"/>
      <c r="J39" s="216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D39" s="63"/>
      <c r="AE39" s="67"/>
      <c r="AF39" s="67"/>
      <c r="AG39" s="67"/>
      <c r="AH39" s="67"/>
    </row>
    <row r="40" spans="1:34" x14ac:dyDescent="0.25">
      <c r="A40" s="27"/>
      <c r="B40" s="27"/>
      <c r="C40" s="27"/>
      <c r="D40" s="27"/>
      <c r="E40" s="64"/>
      <c r="F40" s="63"/>
      <c r="G40" s="27"/>
      <c r="H40" s="27"/>
      <c r="I40" s="216"/>
      <c r="J40" s="216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D40" s="64"/>
      <c r="AE40" s="67"/>
      <c r="AF40" s="67"/>
      <c r="AG40" s="67"/>
      <c r="AH40" s="67"/>
    </row>
    <row r="41" spans="1:34" x14ac:dyDescent="0.25">
      <c r="A41" s="27"/>
      <c r="B41" s="27"/>
      <c r="C41" s="27"/>
      <c r="D41" s="27"/>
      <c r="E41" s="64"/>
      <c r="F41" s="63"/>
      <c r="G41" s="27"/>
      <c r="H41" s="27"/>
      <c r="I41" s="63"/>
      <c r="J41" s="63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D41" s="68"/>
      <c r="AE41" s="67"/>
      <c r="AF41" s="67"/>
      <c r="AG41" s="67"/>
      <c r="AH41" s="67"/>
    </row>
    <row r="42" spans="1:34" x14ac:dyDescent="0.25">
      <c r="A42" s="27"/>
      <c r="B42" s="27"/>
      <c r="C42" s="27"/>
      <c r="D42" s="27"/>
      <c r="E42" s="63"/>
      <c r="F42" s="63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D42" s="68"/>
      <c r="AE42" s="67"/>
      <c r="AF42" s="67"/>
      <c r="AG42" s="67"/>
      <c r="AH42" s="67"/>
    </row>
    <row r="43" spans="1:34" x14ac:dyDescent="0.25">
      <c r="A43" s="27"/>
      <c r="B43" s="27"/>
      <c r="C43" s="27"/>
      <c r="D43" s="27"/>
      <c r="E43" s="63"/>
      <c r="F43" s="63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D43" s="68"/>
      <c r="AE43" s="67"/>
      <c r="AF43" s="67"/>
      <c r="AG43" s="67"/>
      <c r="AH43" s="67"/>
    </row>
    <row r="44" spans="1:34" x14ac:dyDescent="0.25">
      <c r="A44" s="27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D44" s="67"/>
      <c r="AE44" s="67"/>
      <c r="AF44" s="67"/>
      <c r="AG44" s="67"/>
      <c r="AH44" s="67"/>
    </row>
    <row r="45" spans="1:34" x14ac:dyDescent="0.25">
      <c r="A45" s="27"/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D45" s="67"/>
      <c r="AE45" s="67"/>
      <c r="AF45" s="67"/>
      <c r="AG45" s="67"/>
      <c r="AH45" s="67"/>
    </row>
    <row r="46" spans="1:34" x14ac:dyDescent="0.25">
      <c r="A46" s="27"/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D46" s="67"/>
      <c r="AE46" s="67"/>
      <c r="AF46" s="67"/>
      <c r="AG46" s="67"/>
      <c r="AH46" s="67"/>
    </row>
    <row r="47" spans="1:34" x14ac:dyDescent="0.25">
      <c r="A47" s="27"/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D47" s="67"/>
      <c r="AE47" s="67"/>
      <c r="AF47" s="67"/>
      <c r="AG47" s="67"/>
      <c r="AH47" s="67"/>
    </row>
    <row r="48" spans="1:34" x14ac:dyDescent="0.25">
      <c r="A48" s="27"/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D48" s="67"/>
      <c r="AE48" s="67"/>
      <c r="AF48" s="67"/>
      <c r="AG48" s="67"/>
      <c r="AH48" s="67"/>
    </row>
    <row r="49" spans="1:34" x14ac:dyDescent="0.25">
      <c r="A49" s="27"/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63"/>
      <c r="R49" s="63"/>
      <c r="S49" s="27"/>
      <c r="T49" s="27"/>
      <c r="U49" s="27"/>
      <c r="V49" s="27"/>
      <c r="W49" s="27"/>
      <c r="X49" s="27"/>
      <c r="Y49" s="27"/>
      <c r="Z49" s="27"/>
      <c r="AA49" s="27"/>
      <c r="AD49" s="67"/>
      <c r="AE49" s="67"/>
      <c r="AF49" s="67"/>
      <c r="AG49" s="67"/>
      <c r="AH49" s="67"/>
    </row>
    <row r="50" spans="1:34" x14ac:dyDescent="0.25">
      <c r="A50" s="27"/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  <c r="AD50" s="67"/>
      <c r="AE50" s="67"/>
      <c r="AF50" s="67"/>
      <c r="AG50" s="67"/>
      <c r="AH50" s="67"/>
    </row>
    <row r="51" spans="1:34" x14ac:dyDescent="0.25">
      <c r="A51" s="27"/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</row>
    <row r="52" spans="1:34" x14ac:dyDescent="0.25">
      <c r="A52" s="27"/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</row>
    <row r="53" spans="1:34" x14ac:dyDescent="0.25">
      <c r="A53" s="27"/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</row>
  </sheetData>
  <mergeCells count="3">
    <mergeCell ref="I38:J38"/>
    <mergeCell ref="I39:J39"/>
    <mergeCell ref="I40:J40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40"/>
  <sheetViews>
    <sheetView topLeftCell="A22" workbookViewId="0">
      <selection activeCell="C33" sqref="C33:G35"/>
    </sheetView>
  </sheetViews>
  <sheetFormatPr defaultRowHeight="15" x14ac:dyDescent="0.25"/>
  <cols>
    <col min="1" max="1" width="8.796875" style="1"/>
    <col min="2" max="2" width="21.09765625" style="1" customWidth="1"/>
    <col min="3" max="3" width="4.8984375" style="1" customWidth="1"/>
    <col min="4" max="10" width="8.69921875" style="1" customWidth="1"/>
    <col min="11" max="12" width="8.796875" style="1"/>
    <col min="13" max="13" width="20.796875" style="1" customWidth="1"/>
    <col min="14" max="14" width="8.796875" style="1"/>
    <col min="15" max="15" width="10.796875" style="1" bestFit="1" customWidth="1"/>
    <col min="16" max="16" width="8.8984375" style="1" bestFit="1" customWidth="1"/>
    <col min="17" max="17" width="7.5" style="1" bestFit="1" customWidth="1"/>
    <col min="18" max="19" width="8.8984375" style="1" bestFit="1" customWidth="1"/>
    <col min="20" max="20" width="14.09765625" style="1" bestFit="1" customWidth="1"/>
    <col min="21" max="21" width="10.3984375" style="1" bestFit="1" customWidth="1"/>
    <col min="22" max="22" width="8.8984375" style="1" bestFit="1" customWidth="1"/>
    <col min="23" max="16384" width="8.796875" style="1"/>
  </cols>
  <sheetData>
    <row r="2" spans="2:22" x14ac:dyDescent="0.25">
      <c r="L2" s="27"/>
    </row>
    <row r="3" spans="2:22" ht="18" x14ac:dyDescent="0.35">
      <c r="D3" s="1" t="s">
        <v>17</v>
      </c>
      <c r="E3" s="1" t="s">
        <v>18</v>
      </c>
      <c r="F3" s="1" t="s">
        <v>19</v>
      </c>
      <c r="G3" s="1" t="s">
        <v>20</v>
      </c>
      <c r="H3" s="1" t="s">
        <v>130</v>
      </c>
      <c r="I3" s="1" t="s">
        <v>131</v>
      </c>
      <c r="J3" s="1" t="s">
        <v>23</v>
      </c>
      <c r="M3" s="4" t="s">
        <v>342</v>
      </c>
      <c r="N3" s="132" t="s">
        <v>337</v>
      </c>
      <c r="O3" s="121">
        <f>K19</f>
        <v>0.75180556565714496</v>
      </c>
      <c r="P3" s="26" t="s">
        <v>1</v>
      </c>
      <c r="Q3" s="5"/>
      <c r="R3" s="5"/>
      <c r="S3" s="5"/>
      <c r="T3" s="5"/>
      <c r="U3" s="5"/>
      <c r="V3" s="5"/>
    </row>
    <row r="4" spans="2:22" x14ac:dyDescent="0.25">
      <c r="B4" s="205" t="str">
        <f>kütus</f>
        <v>puiduhake</v>
      </c>
      <c r="C4" s="206"/>
      <c r="D4" s="14">
        <f>VLOOKUP($B$4,kütuse_andmed,2,0)</f>
        <v>49.556249999999999</v>
      </c>
      <c r="E4" s="14">
        <f>VLOOKUP($B$4,kütuse_andmed,3,0)</f>
        <v>6.5018750000000001</v>
      </c>
      <c r="F4" s="14">
        <f>VLOOKUP($B$4,kütuse_andmed,4,0)</f>
        <v>0.17200000000000001</v>
      </c>
      <c r="G4" s="14">
        <f>VLOOKUP($B$4,kütuse_andmed,5,0)</f>
        <v>1.6E-2</v>
      </c>
      <c r="H4" s="14">
        <f>VLOOKUP($B$4,kütuse_andmed,6,0)</f>
        <v>3.1549999999999998</v>
      </c>
      <c r="I4" s="14">
        <f>VLOOKUP($B$4,kütuse_andmed,7,0)</f>
        <v>0.59749999999999992</v>
      </c>
      <c r="J4" s="14">
        <f>VLOOKUP($B$4,kütuse_andmed,8,0)</f>
        <v>43.156374999999997</v>
      </c>
      <c r="M4" s="2" t="s">
        <v>343</v>
      </c>
      <c r="N4" s="133" t="s">
        <v>132</v>
      </c>
      <c r="O4" s="129">
        <v>0</v>
      </c>
      <c r="P4" s="49" t="s">
        <v>1</v>
      </c>
      <c r="Q4" s="5"/>
      <c r="R4" s="5"/>
      <c r="S4" s="5"/>
      <c r="T4" s="5"/>
      <c r="U4" s="5"/>
      <c r="V4" s="5"/>
    </row>
    <row r="5" spans="2:22" ht="18" x14ac:dyDescent="0.35">
      <c r="B5" s="207" t="s">
        <v>317</v>
      </c>
      <c r="C5" s="208"/>
      <c r="D5" s="75">
        <f t="shared" ref="D5:J5" si="0">D4/100</f>
        <v>0.49556249999999996</v>
      </c>
      <c r="E5" s="75">
        <f t="shared" si="0"/>
        <v>6.501875E-2</v>
      </c>
      <c r="F5" s="75">
        <f t="shared" si="0"/>
        <v>1.7200000000000002E-3</v>
      </c>
      <c r="G5" s="75">
        <f t="shared" si="0"/>
        <v>1.6000000000000001E-4</v>
      </c>
      <c r="H5" s="75">
        <f t="shared" si="0"/>
        <v>3.1549999999999995E-2</v>
      </c>
      <c r="I5" s="75">
        <f t="shared" si="0"/>
        <v>5.9749999999999994E-3</v>
      </c>
      <c r="J5" s="75">
        <f t="shared" si="0"/>
        <v>0.43156374999999997</v>
      </c>
      <c r="M5" s="2" t="s">
        <v>344</v>
      </c>
      <c r="N5" s="134" t="s">
        <v>338</v>
      </c>
      <c r="O5" s="135">
        <v>7.26E-3</v>
      </c>
      <c r="P5" s="2" t="s">
        <v>336</v>
      </c>
      <c r="Q5" s="5"/>
      <c r="R5" s="5"/>
      <c r="S5" s="5"/>
      <c r="T5" s="5"/>
      <c r="U5" s="5"/>
      <c r="V5" s="5"/>
    </row>
    <row r="6" spans="2:22" ht="18.75" x14ac:dyDescent="0.35">
      <c r="B6" s="207" t="s">
        <v>318</v>
      </c>
      <c r="C6" s="208"/>
      <c r="D6" s="75">
        <f>D5*(1-$H$6)</f>
        <v>0.2935970413826442</v>
      </c>
      <c r="E6" s="75">
        <f>E5*(1-$H$6)</f>
        <v>3.8520494658893276E-2</v>
      </c>
      <c r="F6" s="75">
        <f>F5*(1-$H$6)</f>
        <v>1.0190176035881409E-3</v>
      </c>
      <c r="G6" s="75">
        <f>G5*(1-$H$6)</f>
        <v>9.4792335217501486E-5</v>
      </c>
      <c r="H6" s="75">
        <f>niiskus</f>
        <v>0.40754790489061576</v>
      </c>
      <c r="I6" s="75">
        <f>I5*(1-$H$6)</f>
        <v>3.5399012682785706E-3</v>
      </c>
      <c r="J6" s="75">
        <f>J5*(1-$H$6)</f>
        <v>0.25568084786076251</v>
      </c>
      <c r="M6" s="2" t="s">
        <v>345</v>
      </c>
      <c r="N6" s="133" t="s">
        <v>339</v>
      </c>
      <c r="O6" s="129">
        <v>1.2929999999999999</v>
      </c>
      <c r="P6" s="2" t="s">
        <v>279</v>
      </c>
    </row>
    <row r="7" spans="2:22" ht="18.75" x14ac:dyDescent="0.35">
      <c r="M7" s="2" t="s">
        <v>346</v>
      </c>
      <c r="N7" s="134" t="s">
        <v>340</v>
      </c>
      <c r="O7" s="129">
        <f>suitsugaasid!W9/suitsugaasid!C11</f>
        <v>7.5298545074588986E-3</v>
      </c>
      <c r="P7" s="2" t="s">
        <v>347</v>
      </c>
    </row>
    <row r="8" spans="2:22" ht="18.75" x14ac:dyDescent="0.35">
      <c r="D8" s="76"/>
      <c r="H8" s="5"/>
      <c r="M8" s="4" t="s">
        <v>348</v>
      </c>
      <c r="N8" s="136" t="s">
        <v>341</v>
      </c>
      <c r="O8" s="121">
        <v>0.20938000000000001</v>
      </c>
      <c r="P8" s="4" t="s">
        <v>347</v>
      </c>
    </row>
    <row r="9" spans="2:22" ht="18" x14ac:dyDescent="0.35">
      <c r="B9" s="4" t="s">
        <v>328</v>
      </c>
      <c r="C9" s="132" t="s">
        <v>320</v>
      </c>
      <c r="D9" s="121">
        <f>D10*(1-(I6*(1-O4)))+O3</f>
        <v>4.4946150636572604</v>
      </c>
      <c r="E9" s="4" t="s">
        <v>1</v>
      </c>
      <c r="F9" s="90"/>
      <c r="G9" s="27"/>
      <c r="H9" s="27"/>
      <c r="I9" s="27"/>
      <c r="J9" s="27"/>
      <c r="M9" s="203"/>
      <c r="N9" s="203"/>
    </row>
    <row r="10" spans="2:22" ht="18" x14ac:dyDescent="0.35">
      <c r="B10" s="2" t="s">
        <v>329</v>
      </c>
      <c r="C10" s="133" t="s">
        <v>321</v>
      </c>
      <c r="D10" s="129">
        <f>D11*(1+O5)</f>
        <v>3.7561057414781622</v>
      </c>
      <c r="E10" s="2" t="s">
        <v>1</v>
      </c>
      <c r="F10" s="90"/>
      <c r="G10" s="90"/>
      <c r="H10" s="90"/>
      <c r="I10" s="90"/>
      <c r="J10" s="90"/>
      <c r="K10" s="24"/>
      <c r="M10" s="24"/>
    </row>
    <row r="11" spans="2:22" ht="18" x14ac:dyDescent="0.35">
      <c r="B11" s="2" t="s">
        <v>330</v>
      </c>
      <c r="C11" s="133" t="s">
        <v>322</v>
      </c>
      <c r="D11" s="129">
        <f>K13+(O6*K15*(O7/(O8-O7)))</f>
        <v>3.7290329621727878</v>
      </c>
      <c r="E11" s="2" t="s">
        <v>1</v>
      </c>
      <c r="F11" s="90"/>
      <c r="G11" s="90"/>
      <c r="H11" s="90"/>
      <c r="I11" s="90"/>
      <c r="J11" s="90"/>
      <c r="K11" s="24"/>
      <c r="M11" s="24"/>
    </row>
    <row r="12" spans="2:22" x14ac:dyDescent="0.25">
      <c r="B12" s="130" t="s">
        <v>319</v>
      </c>
      <c r="C12" s="130"/>
      <c r="D12" s="123">
        <v>11.5122</v>
      </c>
      <c r="E12" s="123">
        <v>34.297400000000003</v>
      </c>
      <c r="F12" s="123">
        <v>0</v>
      </c>
      <c r="G12" s="123">
        <v>4.3129</v>
      </c>
      <c r="H12" s="124">
        <v>0</v>
      </c>
      <c r="I12" s="123">
        <v>0</v>
      </c>
      <c r="J12" s="123">
        <v>-4.3212000000000002</v>
      </c>
      <c r="K12" s="125" t="s">
        <v>111</v>
      </c>
      <c r="M12" s="24"/>
    </row>
    <row r="13" spans="2:22" ht="18" x14ac:dyDescent="0.35">
      <c r="B13" s="4" t="s">
        <v>331</v>
      </c>
      <c r="C13" s="132" t="s">
        <v>323</v>
      </c>
      <c r="D13" s="121">
        <f>D12*D6</f>
        <v>3.3799478598052763</v>
      </c>
      <c r="E13" s="121">
        <f t="shared" ref="E13:J13" si="1">E12*E6</f>
        <v>1.3211528135139263</v>
      </c>
      <c r="F13" s="121">
        <f t="shared" si="1"/>
        <v>0</v>
      </c>
      <c r="G13" s="121">
        <f t="shared" si="1"/>
        <v>4.0882986255956217E-4</v>
      </c>
      <c r="H13" s="121">
        <f t="shared" si="1"/>
        <v>0</v>
      </c>
      <c r="I13" s="121">
        <f t="shared" si="1"/>
        <v>0</v>
      </c>
      <c r="J13" s="121">
        <f t="shared" si="1"/>
        <v>-1.104848079775927</v>
      </c>
      <c r="K13" s="131">
        <f>SUM(D13:J13)</f>
        <v>3.5966614234058349</v>
      </c>
      <c r="L13" s="4" t="s">
        <v>1</v>
      </c>
      <c r="M13" s="24"/>
      <c r="O13" s="5"/>
    </row>
    <row r="14" spans="2:22" x14ac:dyDescent="0.25">
      <c r="B14" s="130" t="s">
        <v>319</v>
      </c>
      <c r="C14" s="130"/>
      <c r="D14" s="126">
        <v>8.8930000000000007</v>
      </c>
      <c r="E14" s="126">
        <v>20.9724</v>
      </c>
      <c r="F14" s="126">
        <v>0.79969999999999997</v>
      </c>
      <c r="G14" s="126">
        <v>3.319</v>
      </c>
      <c r="H14" s="126">
        <v>0</v>
      </c>
      <c r="I14" s="126">
        <v>0</v>
      </c>
      <c r="J14" s="126">
        <v>-2.6423999999999999</v>
      </c>
      <c r="K14" s="125" t="s">
        <v>111</v>
      </c>
      <c r="M14" s="24"/>
      <c r="O14" s="5"/>
    </row>
    <row r="15" spans="2:22" ht="18.75" x14ac:dyDescent="0.35">
      <c r="B15" s="4" t="s">
        <v>332</v>
      </c>
      <c r="C15" s="132" t="s">
        <v>324</v>
      </c>
      <c r="D15" s="121">
        <f>D14*D6</f>
        <v>2.610958489015855</v>
      </c>
      <c r="E15" s="121">
        <f t="shared" ref="E15:J15" si="2">E14*E6</f>
        <v>0.80786722218417339</v>
      </c>
      <c r="F15" s="121">
        <f t="shared" si="2"/>
        <v>8.1490837758943632E-4</v>
      </c>
      <c r="G15" s="121">
        <f t="shared" si="2"/>
        <v>3.1461576058688744E-4</v>
      </c>
      <c r="H15" s="121">
        <f t="shared" si="2"/>
        <v>0</v>
      </c>
      <c r="I15" s="121">
        <f t="shared" si="2"/>
        <v>0</v>
      </c>
      <c r="J15" s="121">
        <f t="shared" si="2"/>
        <v>-0.6756110723872788</v>
      </c>
      <c r="K15" s="121">
        <f>SUM(D15:J15)</f>
        <v>2.744344162950926</v>
      </c>
      <c r="L15" s="4" t="s">
        <v>177</v>
      </c>
    </row>
    <row r="16" spans="2:22" x14ac:dyDescent="0.25">
      <c r="B16" s="130" t="s">
        <v>319</v>
      </c>
      <c r="C16" s="130"/>
      <c r="D16" s="123">
        <v>3.6699000000000002</v>
      </c>
      <c r="E16" s="123">
        <v>1.7299999999999999E-2</v>
      </c>
      <c r="F16" s="123">
        <v>0</v>
      </c>
      <c r="G16" s="123">
        <v>2.1999999999999999E-2</v>
      </c>
      <c r="H16" s="123">
        <v>0</v>
      </c>
      <c r="I16" s="123">
        <v>0</v>
      </c>
      <c r="J16" s="123">
        <v>-2.1999999999999999E-2</v>
      </c>
      <c r="K16" s="125" t="s">
        <v>111</v>
      </c>
    </row>
    <row r="17" spans="1:18" ht="18" x14ac:dyDescent="0.35">
      <c r="B17" s="4" t="s">
        <v>333</v>
      </c>
      <c r="C17" s="132" t="s">
        <v>325</v>
      </c>
      <c r="D17" s="121">
        <f>D16*D6</f>
        <v>1.077471782170166</v>
      </c>
      <c r="E17" s="121">
        <f t="shared" ref="E17:I17" si="3">E16*E6</f>
        <v>6.664045575988537E-4</v>
      </c>
      <c r="F17" s="121">
        <f t="shared" si="3"/>
        <v>0</v>
      </c>
      <c r="G17" s="121">
        <f t="shared" si="3"/>
        <v>2.0854313747850327E-6</v>
      </c>
      <c r="H17" s="121">
        <f t="shared" si="3"/>
        <v>0</v>
      </c>
      <c r="I17" s="121">
        <f t="shared" si="3"/>
        <v>0</v>
      </c>
      <c r="J17" s="121">
        <f>J16*J6</f>
        <v>-5.6249786529367751E-3</v>
      </c>
      <c r="K17" s="121">
        <f>SUM(D17:J17)</f>
        <v>1.0725152935062028</v>
      </c>
      <c r="L17" s="4" t="s">
        <v>1</v>
      </c>
    </row>
    <row r="18" spans="1:18" x14ac:dyDescent="0.25">
      <c r="B18" s="130" t="s">
        <v>319</v>
      </c>
      <c r="C18" s="130"/>
      <c r="D18" s="123">
        <v>0</v>
      </c>
      <c r="E18" s="123">
        <v>8.9369999999999994</v>
      </c>
      <c r="F18" s="123">
        <v>0</v>
      </c>
      <c r="G18" s="123">
        <v>0</v>
      </c>
      <c r="H18" s="123">
        <v>1</v>
      </c>
      <c r="I18" s="123">
        <v>0</v>
      </c>
      <c r="J18" s="123">
        <v>0</v>
      </c>
      <c r="K18" s="125" t="s">
        <v>111</v>
      </c>
    </row>
    <row r="19" spans="1:18" ht="18" x14ac:dyDescent="0.35">
      <c r="B19" s="4" t="s">
        <v>334</v>
      </c>
      <c r="C19" s="132" t="s">
        <v>326</v>
      </c>
      <c r="D19" s="4">
        <f>D18*D6</f>
        <v>0</v>
      </c>
      <c r="E19" s="121">
        <f>E18*E6</f>
        <v>0.34425766076652919</v>
      </c>
      <c r="F19" s="4">
        <f t="shared" ref="F19:J19" si="4">F18*F6</f>
        <v>0</v>
      </c>
      <c r="G19" s="4">
        <f t="shared" si="4"/>
        <v>0</v>
      </c>
      <c r="H19" s="4">
        <f t="shared" si="4"/>
        <v>0.40754790489061576</v>
      </c>
      <c r="I19" s="4">
        <f t="shared" si="4"/>
        <v>0</v>
      </c>
      <c r="J19" s="4">
        <f t="shared" si="4"/>
        <v>0</v>
      </c>
      <c r="K19" s="121">
        <f>SUM(D19:J19)</f>
        <v>0.75180556565714496</v>
      </c>
      <c r="L19" s="4" t="s">
        <v>1</v>
      </c>
      <c r="N19" s="22"/>
    </row>
    <row r="20" spans="1:18" ht="18" x14ac:dyDescent="0.35">
      <c r="B20" s="2" t="s">
        <v>335</v>
      </c>
      <c r="C20" s="134" t="s">
        <v>327</v>
      </c>
      <c r="D20" s="49">
        <f>K19/D9</f>
        <v>0.16726806523124188</v>
      </c>
      <c r="E20" s="2" t="s">
        <v>336</v>
      </c>
      <c r="F20" s="2"/>
      <c r="G20" s="27"/>
      <c r="H20" s="27"/>
      <c r="I20" s="27"/>
      <c r="J20" s="27"/>
      <c r="K20" s="24"/>
    </row>
    <row r="21" spans="1:18" x14ac:dyDescent="0.25">
      <c r="B21" s="27"/>
      <c r="C21" s="27"/>
      <c r="D21" s="27"/>
      <c r="E21" s="27"/>
      <c r="F21" s="27"/>
      <c r="G21" s="27"/>
      <c r="H21" s="27"/>
      <c r="I21" s="27"/>
      <c r="J21" s="27"/>
      <c r="K21" s="24"/>
    </row>
    <row r="22" spans="1:18" x14ac:dyDescent="0.25">
      <c r="D22" s="23"/>
      <c r="F22" s="22"/>
      <c r="O22" s="86"/>
      <c r="P22" s="127"/>
      <c r="Q22" s="127"/>
      <c r="R22" s="127"/>
    </row>
    <row r="23" spans="1:18" x14ac:dyDescent="0.25">
      <c r="D23" s="5"/>
      <c r="F23" s="128"/>
      <c r="K23" s="24"/>
      <c r="O23" s="127"/>
      <c r="P23" s="127"/>
      <c r="Q23" s="127"/>
      <c r="R23" s="127"/>
    </row>
    <row r="24" spans="1:18" x14ac:dyDescent="0.25">
      <c r="B24" s="203"/>
      <c r="C24" s="203"/>
      <c r="D24" s="203"/>
      <c r="F24" s="22"/>
      <c r="K24" s="24"/>
      <c r="O24" s="127"/>
      <c r="P24" s="127"/>
      <c r="Q24" s="127"/>
      <c r="R24" s="127"/>
    </row>
    <row r="25" spans="1:18" x14ac:dyDescent="0.25">
      <c r="B25" s="7" t="s">
        <v>351</v>
      </c>
      <c r="C25" s="202" t="s">
        <v>349</v>
      </c>
      <c r="D25" s="202"/>
      <c r="E25" s="202"/>
      <c r="F25" s="202" t="s">
        <v>350</v>
      </c>
      <c r="G25" s="202"/>
      <c r="H25" s="202"/>
      <c r="I25" s="204" t="s">
        <v>119</v>
      </c>
      <c r="J25" s="204"/>
      <c r="K25" s="24"/>
      <c r="O25" s="127"/>
      <c r="P25" s="127"/>
      <c r="Q25" s="127"/>
      <c r="R25" s="127"/>
    </row>
    <row r="26" spans="1:18" x14ac:dyDescent="0.25">
      <c r="B26" s="7" t="s">
        <v>356</v>
      </c>
      <c r="C26" s="196">
        <f>suitsugaasid!C10</f>
        <v>4.7804516467085829</v>
      </c>
      <c r="D26" s="197"/>
      <c r="E26" s="198"/>
      <c r="F26" s="196">
        <f>D9</f>
        <v>4.4946150636572604</v>
      </c>
      <c r="G26" s="197"/>
      <c r="H26" s="198"/>
      <c r="I26" s="199">
        <f>IFERROR((ABS(F26-C26))/F26,"")</f>
        <v>6.3595342204619806E-2</v>
      </c>
      <c r="J26" s="200"/>
      <c r="K26" s="24"/>
      <c r="O26" s="127"/>
      <c r="P26" s="127"/>
      <c r="Q26" s="127"/>
      <c r="R26" s="127"/>
    </row>
    <row r="27" spans="1:18" x14ac:dyDescent="0.25">
      <c r="B27" s="7" t="s">
        <v>352</v>
      </c>
      <c r="C27" s="201">
        <f>suitsugaasid!C8</f>
        <v>4.0021868801449578</v>
      </c>
      <c r="D27" s="201"/>
      <c r="E27" s="201"/>
      <c r="F27" s="201">
        <f>D9-K19</f>
        <v>3.7428094980001152</v>
      </c>
      <c r="G27" s="201"/>
      <c r="H27" s="201"/>
      <c r="I27" s="199">
        <f t="shared" ref="I27:I31" si="5">IFERROR((ABS(F27-C27))/F27,"")</f>
        <v>6.9300182732633067E-2</v>
      </c>
      <c r="J27" s="200"/>
      <c r="K27" s="24"/>
      <c r="O27" s="127"/>
      <c r="P27" s="127"/>
      <c r="Q27" s="127"/>
      <c r="R27" s="127"/>
    </row>
    <row r="28" spans="1:18" x14ac:dyDescent="0.25">
      <c r="B28" s="7" t="s">
        <v>353</v>
      </c>
      <c r="C28" s="201">
        <f>suitsugaasid!C7</f>
        <v>0.77826476656362509</v>
      </c>
      <c r="D28" s="201"/>
      <c r="E28" s="201"/>
      <c r="F28" s="201">
        <f>K19</f>
        <v>0.75180556565714496</v>
      </c>
      <c r="G28" s="201"/>
      <c r="H28" s="201"/>
      <c r="I28" s="199">
        <f t="shared" si="5"/>
        <v>3.5194207272664223E-2</v>
      </c>
      <c r="J28" s="200"/>
      <c r="K28" s="24"/>
      <c r="O28" s="127"/>
      <c r="P28" s="127"/>
      <c r="Q28" s="127"/>
      <c r="R28" s="127"/>
    </row>
    <row r="29" spans="1:18" ht="18" x14ac:dyDescent="0.35">
      <c r="B29" s="7" t="s">
        <v>354</v>
      </c>
      <c r="C29" s="201">
        <f>'saadav soojus'!C20</f>
        <v>1.0674097852260163</v>
      </c>
      <c r="D29" s="201"/>
      <c r="E29" s="201"/>
      <c r="F29" s="201">
        <f>K17</f>
        <v>1.0725152935062028</v>
      </c>
      <c r="G29" s="201"/>
      <c r="H29" s="201"/>
      <c r="I29" s="199">
        <f t="shared" si="5"/>
        <v>4.7603128002920124E-3</v>
      </c>
      <c r="J29" s="200"/>
      <c r="O29" s="127"/>
      <c r="P29" s="127"/>
      <c r="Q29" s="127"/>
      <c r="R29" s="127"/>
    </row>
    <row r="30" spans="1:18" x14ac:dyDescent="0.25">
      <c r="B30" s="7" t="s">
        <v>355</v>
      </c>
      <c r="C30" s="201">
        <f>suitsugaasid!K15</f>
        <v>3.7900246836870806</v>
      </c>
      <c r="D30" s="201"/>
      <c r="E30" s="201"/>
      <c r="F30" s="201">
        <f>D10</f>
        <v>3.7561057414781622</v>
      </c>
      <c r="G30" s="201"/>
      <c r="H30" s="201"/>
      <c r="I30" s="199">
        <f t="shared" si="5"/>
        <v>9.0303480635159153E-3</v>
      </c>
      <c r="J30" s="200"/>
      <c r="O30" s="127"/>
      <c r="P30" s="127"/>
      <c r="Q30" s="127"/>
      <c r="R30" s="127"/>
    </row>
    <row r="31" spans="1:18" x14ac:dyDescent="0.25">
      <c r="B31" s="7" t="s">
        <v>335</v>
      </c>
      <c r="C31" s="201">
        <f>'saadav soojus'!E6</f>
        <v>0.19445987653016258</v>
      </c>
      <c r="D31" s="201"/>
      <c r="E31" s="201"/>
      <c r="F31" s="201">
        <f>D20</f>
        <v>0.16726806523124188</v>
      </c>
      <c r="G31" s="202"/>
      <c r="H31" s="202"/>
      <c r="I31" s="199">
        <f t="shared" si="5"/>
        <v>0.16256427227354509</v>
      </c>
      <c r="J31" s="200"/>
    </row>
    <row r="32" spans="1:18" x14ac:dyDescent="0.25">
      <c r="A32" s="27"/>
      <c r="B32" s="27"/>
      <c r="C32" s="195"/>
      <c r="D32" s="195"/>
      <c r="E32" s="195"/>
      <c r="F32" s="195"/>
      <c r="G32" s="195"/>
      <c r="H32" s="195"/>
      <c r="I32" s="195"/>
      <c r="J32" s="195"/>
      <c r="K32" s="27"/>
    </row>
    <row r="33" spans="1:11" ht="18" x14ac:dyDescent="0.35">
      <c r="A33" s="27"/>
      <c r="B33" s="27"/>
      <c r="C33" s="7" t="s">
        <v>352</v>
      </c>
      <c r="D33" s="7" t="s">
        <v>353</v>
      </c>
      <c r="E33" s="7" t="s">
        <v>354</v>
      </c>
      <c r="F33" s="7" t="s">
        <v>355</v>
      </c>
      <c r="G33" s="7" t="s">
        <v>356</v>
      </c>
      <c r="I33" s="195"/>
      <c r="J33" s="195"/>
      <c r="K33" s="27"/>
    </row>
    <row r="34" spans="1:11" x14ac:dyDescent="0.25">
      <c r="A34" s="27"/>
      <c r="B34" s="189" t="s">
        <v>349</v>
      </c>
      <c r="C34" s="190">
        <f>C27</f>
        <v>4.0021868801449578</v>
      </c>
      <c r="D34" s="190">
        <f>C28</f>
        <v>0.77826476656362509</v>
      </c>
      <c r="E34" s="190">
        <f>C29</f>
        <v>1.0674097852260163</v>
      </c>
      <c r="F34" s="190">
        <f>C30</f>
        <v>3.7900246836870806</v>
      </c>
      <c r="G34" s="190">
        <f>C26</f>
        <v>4.7804516467085829</v>
      </c>
      <c r="I34" s="195"/>
      <c r="J34" s="195"/>
      <c r="K34" s="27"/>
    </row>
    <row r="35" spans="1:11" x14ac:dyDescent="0.25">
      <c r="A35" s="27"/>
      <c r="B35" s="189" t="s">
        <v>350</v>
      </c>
      <c r="C35" s="190">
        <f>F27</f>
        <v>3.7428094980001152</v>
      </c>
      <c r="D35" s="190">
        <f>F28</f>
        <v>0.75180556565714496</v>
      </c>
      <c r="E35" s="190">
        <f>F29</f>
        <v>1.0725152935062028</v>
      </c>
      <c r="F35" s="190">
        <f>F30</f>
        <v>3.7561057414781622</v>
      </c>
      <c r="G35" s="190">
        <f>F26</f>
        <v>4.4946150636572604</v>
      </c>
      <c r="I35" s="195"/>
      <c r="J35" s="195"/>
      <c r="K35" s="27"/>
    </row>
    <row r="36" spans="1:11" x14ac:dyDescent="0.25">
      <c r="A36" s="27"/>
      <c r="B36" s="100"/>
      <c r="C36" s="195"/>
      <c r="D36" s="195"/>
      <c r="E36" s="195"/>
      <c r="F36" s="195"/>
      <c r="G36" s="195"/>
      <c r="H36" s="195"/>
      <c r="I36" s="195"/>
      <c r="J36" s="195"/>
      <c r="K36" s="27"/>
    </row>
    <row r="37" spans="1:11" x14ac:dyDescent="0.25">
      <c r="A37" s="27"/>
      <c r="B37" s="27"/>
      <c r="C37" s="195"/>
      <c r="D37" s="195"/>
      <c r="E37" s="195"/>
      <c r="F37" s="195"/>
      <c r="G37" s="195"/>
      <c r="H37" s="195"/>
      <c r="I37" s="195"/>
      <c r="J37" s="195"/>
      <c r="K37" s="27"/>
    </row>
    <row r="38" spans="1:11" x14ac:dyDescent="0.25">
      <c r="A38" s="27"/>
      <c r="B38" s="100"/>
      <c r="C38" s="195"/>
      <c r="D38" s="195"/>
      <c r="E38" s="195"/>
      <c r="F38" s="27"/>
      <c r="G38" s="27"/>
      <c r="H38" s="27"/>
      <c r="I38" s="195"/>
      <c r="J38" s="195"/>
      <c r="K38" s="27"/>
    </row>
    <row r="39" spans="1:11" x14ac:dyDescent="0.25">
      <c r="A39" s="27"/>
      <c r="B39" s="100"/>
      <c r="C39" s="27"/>
      <c r="D39" s="27"/>
      <c r="E39" s="27"/>
      <c r="F39" s="27"/>
      <c r="G39" s="27"/>
      <c r="H39" s="27"/>
      <c r="I39" s="27"/>
      <c r="J39" s="27"/>
      <c r="K39" s="27"/>
    </row>
    <row r="40" spans="1:11" x14ac:dyDescent="0.25">
      <c r="A40" s="27"/>
      <c r="B40" s="27"/>
      <c r="C40" s="27"/>
      <c r="D40" s="27"/>
      <c r="E40" s="27"/>
      <c r="F40" s="27"/>
      <c r="G40" s="27"/>
      <c r="H40" s="27"/>
      <c r="I40" s="27"/>
      <c r="J40" s="27"/>
      <c r="K40" s="27"/>
    </row>
  </sheetData>
  <mergeCells count="40">
    <mergeCell ref="B4:C4"/>
    <mergeCell ref="B5:C5"/>
    <mergeCell ref="B6:C6"/>
    <mergeCell ref="I31:J31"/>
    <mergeCell ref="C25:E25"/>
    <mergeCell ref="F25:H25"/>
    <mergeCell ref="I29:J29"/>
    <mergeCell ref="I30:J30"/>
    <mergeCell ref="F30:H30"/>
    <mergeCell ref="M9:N9"/>
    <mergeCell ref="B24:D24"/>
    <mergeCell ref="I25:J25"/>
    <mergeCell ref="I27:J27"/>
    <mergeCell ref="I28:J28"/>
    <mergeCell ref="F37:H37"/>
    <mergeCell ref="C27:E27"/>
    <mergeCell ref="C28:E28"/>
    <mergeCell ref="C29:E29"/>
    <mergeCell ref="C30:E30"/>
    <mergeCell ref="C31:E31"/>
    <mergeCell ref="C32:E32"/>
    <mergeCell ref="C36:E36"/>
    <mergeCell ref="F31:H31"/>
    <mergeCell ref="F32:H32"/>
    <mergeCell ref="I37:J37"/>
    <mergeCell ref="I38:J38"/>
    <mergeCell ref="C26:E26"/>
    <mergeCell ref="F26:H26"/>
    <mergeCell ref="I26:J26"/>
    <mergeCell ref="I32:J32"/>
    <mergeCell ref="I33:J33"/>
    <mergeCell ref="I34:J34"/>
    <mergeCell ref="I35:J35"/>
    <mergeCell ref="I36:J36"/>
    <mergeCell ref="C37:E37"/>
    <mergeCell ref="C38:E38"/>
    <mergeCell ref="F27:H27"/>
    <mergeCell ref="F28:H28"/>
    <mergeCell ref="F29:H29"/>
    <mergeCell ref="F36:H36"/>
  </mergeCells>
  <pageMargins left="0.7" right="0.7" top="0.75" bottom="0.75" header="0.3" footer="0.3"/>
  <pageSetup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R1:AC74"/>
  <sheetViews>
    <sheetView topLeftCell="F1" zoomScaleNormal="100" workbookViewId="0">
      <selection activeCell="V23" sqref="V23"/>
    </sheetView>
  </sheetViews>
  <sheetFormatPr defaultRowHeight="15" x14ac:dyDescent="0.25"/>
  <cols>
    <col min="1" max="17" width="8.796875" style="19"/>
    <col min="18" max="18" width="12.3984375" style="19" bestFit="1" customWidth="1"/>
    <col min="19" max="19" width="6" style="19" bestFit="1" customWidth="1"/>
    <col min="20" max="20" width="6" style="19" customWidth="1"/>
    <col min="21" max="25" width="6" style="19" bestFit="1" customWidth="1"/>
    <col min="26" max="16384" width="8.796875" style="19"/>
  </cols>
  <sheetData>
    <row r="1" spans="18:26" x14ac:dyDescent="0.25">
      <c r="R1" s="19" t="s">
        <v>103</v>
      </c>
      <c r="S1" s="38" t="s">
        <v>104</v>
      </c>
      <c r="T1" s="38"/>
      <c r="U1" s="38"/>
      <c r="V1" s="38"/>
      <c r="W1" s="38"/>
      <c r="X1" s="38"/>
      <c r="Y1" s="38"/>
    </row>
    <row r="2" spans="18:26" x14ac:dyDescent="0.25">
      <c r="R2" s="19" t="s">
        <v>105</v>
      </c>
      <c r="S2" s="19" t="s">
        <v>107</v>
      </c>
      <c r="T2" s="19" t="s">
        <v>395</v>
      </c>
      <c r="U2" s="19" t="s">
        <v>106</v>
      </c>
      <c r="V2" s="19" t="s">
        <v>125</v>
      </c>
    </row>
    <row r="3" spans="18:26" ht="18" x14ac:dyDescent="0.35">
      <c r="R3" s="19">
        <v>40</v>
      </c>
      <c r="S3" s="51">
        <v>6.069607579731314</v>
      </c>
      <c r="T3" s="51">
        <v>6.9308251338395239</v>
      </c>
      <c r="U3" s="51">
        <v>7.9835775256068171</v>
      </c>
      <c r="V3" s="51">
        <v>9.2774043777675583</v>
      </c>
      <c r="W3" s="51"/>
      <c r="X3" s="51"/>
      <c r="Y3" s="51" t="s">
        <v>358</v>
      </c>
      <c r="Z3" s="51"/>
    </row>
    <row r="4" spans="18:26" ht="18" x14ac:dyDescent="0.35">
      <c r="R4" s="19">
        <f>R3+1</f>
        <v>41</v>
      </c>
      <c r="S4" s="51">
        <v>6.0578947445558367</v>
      </c>
      <c r="T4" s="51">
        <v>6.9182421060157804</v>
      </c>
      <c r="U4" s="51">
        <v>7.9730416210682344</v>
      </c>
      <c r="V4" s="51">
        <v>9.2730908232040417</v>
      </c>
      <c r="W4" s="51"/>
      <c r="X4" s="51"/>
      <c r="Y4" s="141" t="s">
        <v>261</v>
      </c>
      <c r="Z4" s="141" t="s">
        <v>359</v>
      </c>
    </row>
    <row r="5" spans="18:26" x14ac:dyDescent="0.25">
      <c r="R5" s="19">
        <f t="shared" ref="R5:R13" si="0">R4+1</f>
        <v>42</v>
      </c>
      <c r="S5" s="51">
        <v>6.0343196321233501</v>
      </c>
      <c r="T5" s="51">
        <v>6.8977790921165667</v>
      </c>
      <c r="U5" s="51">
        <v>7.953665030868776</v>
      </c>
      <c r="V5" s="51">
        <v>9.2551561491669698</v>
      </c>
      <c r="W5" s="51"/>
      <c r="X5" s="51"/>
      <c r="Y5" s="85">
        <v>44</v>
      </c>
      <c r="Z5" s="142">
        <v>8.4</v>
      </c>
    </row>
    <row r="6" spans="18:26" x14ac:dyDescent="0.25">
      <c r="R6" s="19">
        <f t="shared" si="0"/>
        <v>43</v>
      </c>
      <c r="S6" s="51">
        <v>6.0131115174739849</v>
      </c>
      <c r="T6" s="51">
        <v>6.8773767491247586</v>
      </c>
      <c r="U6" s="51">
        <v>7.9311924260534488</v>
      </c>
      <c r="V6" s="51">
        <v>9.2335420265395989</v>
      </c>
      <c r="W6" s="51"/>
      <c r="X6" s="51"/>
      <c r="Y6" s="85">
        <v>43</v>
      </c>
      <c r="Z6" s="142">
        <v>9</v>
      </c>
    </row>
    <row r="7" spans="18:26" x14ac:dyDescent="0.25">
      <c r="R7" s="19">
        <f t="shared" si="0"/>
        <v>44</v>
      </c>
      <c r="S7" s="51">
        <v>5.9830881994558824</v>
      </c>
      <c r="T7" s="51">
        <v>6.8471310470282472</v>
      </c>
      <c r="U7" s="51">
        <v>7.9040903187088398</v>
      </c>
      <c r="V7" s="51">
        <v>9.2069882178761642</v>
      </c>
      <c r="W7" s="51"/>
      <c r="X7" s="51"/>
      <c r="Y7" s="85">
        <v>42</v>
      </c>
      <c r="Z7" s="142">
        <v>9.1</v>
      </c>
    </row>
    <row r="8" spans="18:26" x14ac:dyDescent="0.25">
      <c r="R8" s="19">
        <f t="shared" si="0"/>
        <v>45</v>
      </c>
      <c r="S8" s="51">
        <v>5.9557798490676594</v>
      </c>
      <c r="T8" s="51">
        <v>6.8197941476214137</v>
      </c>
      <c r="U8" s="51">
        <v>7.8768693483767711</v>
      </c>
      <c r="V8" s="51">
        <v>9.1799079876426468</v>
      </c>
      <c r="W8" s="51"/>
      <c r="X8" s="51"/>
      <c r="Y8" s="19">
        <v>48.3</v>
      </c>
      <c r="Z8" s="19">
        <v>7.94</v>
      </c>
    </row>
    <row r="9" spans="18:26" x14ac:dyDescent="0.25">
      <c r="R9" s="19">
        <f t="shared" si="0"/>
        <v>46</v>
      </c>
      <c r="S9" s="51">
        <v>5.9160780852014678</v>
      </c>
      <c r="T9" s="51">
        <v>6.7818398479104873</v>
      </c>
      <c r="U9" s="51">
        <v>7.8379970553035934</v>
      </c>
      <c r="V9" s="51">
        <v>9.1438210453924498</v>
      </c>
      <c r="W9" s="51"/>
      <c r="X9" s="51"/>
      <c r="Y9" s="19">
        <v>47.2</v>
      </c>
      <c r="Z9" s="19">
        <v>8.5299999999999994</v>
      </c>
    </row>
    <row r="10" spans="18:26" x14ac:dyDescent="0.25">
      <c r="R10" s="19">
        <f t="shared" si="0"/>
        <v>47</v>
      </c>
      <c r="S10" s="51">
        <v>5.8750956008262403</v>
      </c>
      <c r="T10" s="51">
        <v>6.7397271597749118</v>
      </c>
      <c r="U10" s="51">
        <v>7.7842272756428521</v>
      </c>
      <c r="V10" s="51">
        <v>8.99633073148234</v>
      </c>
      <c r="W10" s="51"/>
      <c r="X10" s="51"/>
    </row>
    <row r="11" spans="18:26" ht="18" x14ac:dyDescent="0.35">
      <c r="R11" s="19">
        <f t="shared" si="0"/>
        <v>48</v>
      </c>
      <c r="S11" s="51">
        <v>5.7123653626960991</v>
      </c>
      <c r="T11" s="51">
        <v>6.5533283386100472</v>
      </c>
      <c r="U11" s="51">
        <v>7.5682981529307822</v>
      </c>
      <c r="V11" s="51">
        <v>8.7829549850038671</v>
      </c>
      <c r="W11" s="51"/>
      <c r="X11" s="51"/>
      <c r="Y11" s="51" t="s">
        <v>360</v>
      </c>
    </row>
    <row r="12" spans="18:26" ht="18" x14ac:dyDescent="0.35">
      <c r="R12" s="19">
        <f t="shared" si="0"/>
        <v>49</v>
      </c>
      <c r="S12" s="51">
        <v>5.4920860365346122</v>
      </c>
      <c r="T12" s="51">
        <v>6.3244705752605741</v>
      </c>
      <c r="U12" s="51">
        <v>7.3404426101851632</v>
      </c>
      <c r="V12" s="51">
        <v>8.5436872939839503</v>
      </c>
      <c r="W12" s="51"/>
      <c r="X12" s="51"/>
      <c r="Y12" s="141" t="s">
        <v>261</v>
      </c>
      <c r="Z12" s="141" t="s">
        <v>359</v>
      </c>
    </row>
    <row r="13" spans="18:26" x14ac:dyDescent="0.25">
      <c r="R13" s="19">
        <f t="shared" si="0"/>
        <v>50</v>
      </c>
      <c r="S13" s="51">
        <v>5.2702338221344487</v>
      </c>
      <c r="T13" s="51">
        <v>6.1131037051437014</v>
      </c>
      <c r="U13" s="51">
        <v>7.1190539439545395</v>
      </c>
      <c r="V13" s="51">
        <v>8.3225913386666477</v>
      </c>
      <c r="W13" s="51"/>
      <c r="X13" s="51"/>
      <c r="Y13" s="19">
        <v>41</v>
      </c>
      <c r="Z13" s="19">
        <v>7.6</v>
      </c>
    </row>
    <row r="14" spans="18:26" x14ac:dyDescent="0.25">
      <c r="S14" s="51"/>
      <c r="T14" s="51"/>
      <c r="U14" s="51"/>
      <c r="V14" s="51"/>
      <c r="W14" s="51"/>
      <c r="X14" s="51"/>
      <c r="Y14" s="19">
        <v>41</v>
      </c>
      <c r="Z14" s="19">
        <v>8.5</v>
      </c>
    </row>
    <row r="15" spans="18:26" x14ac:dyDescent="0.25">
      <c r="R15" s="20"/>
      <c r="S15" s="169"/>
      <c r="T15" s="169"/>
      <c r="U15" s="51"/>
      <c r="V15" s="51"/>
      <c r="W15" s="51"/>
      <c r="X15" s="51"/>
      <c r="Y15" s="19">
        <v>41</v>
      </c>
      <c r="Z15" s="19">
        <v>8.6</v>
      </c>
    </row>
    <row r="16" spans="18:26" x14ac:dyDescent="0.25">
      <c r="S16" s="169"/>
      <c r="T16" s="169"/>
      <c r="U16" s="51"/>
      <c r="V16" s="51"/>
      <c r="W16" s="51"/>
      <c r="X16" s="51"/>
      <c r="Y16" s="19">
        <v>42</v>
      </c>
      <c r="Z16" s="19">
        <v>8.8000000000000007</v>
      </c>
    </row>
    <row r="17" spans="19:29" x14ac:dyDescent="0.25">
      <c r="S17" s="169"/>
      <c r="T17" s="51"/>
      <c r="V17" s="51"/>
      <c r="W17" s="51"/>
      <c r="X17" s="51"/>
      <c r="Y17" s="19">
        <v>42</v>
      </c>
      <c r="Z17" s="19">
        <v>9.1</v>
      </c>
    </row>
    <row r="18" spans="19:29" x14ac:dyDescent="0.25">
      <c r="S18" s="51"/>
      <c r="T18" s="51"/>
      <c r="U18" s="51"/>
      <c r="V18" s="51"/>
      <c r="W18" s="51"/>
      <c r="X18" s="51"/>
      <c r="Y18" s="19">
        <v>43</v>
      </c>
      <c r="Z18" s="19">
        <v>7.6</v>
      </c>
    </row>
    <row r="19" spans="19:29" x14ac:dyDescent="0.25">
      <c r="S19" s="51"/>
      <c r="T19" s="51"/>
      <c r="U19" s="51"/>
      <c r="V19" s="51"/>
      <c r="W19" s="51"/>
      <c r="X19" s="51"/>
      <c r="Y19" s="19">
        <v>43</v>
      </c>
      <c r="Z19" s="19">
        <v>8.1999999999999993</v>
      </c>
    </row>
    <row r="20" spans="19:29" x14ac:dyDescent="0.25">
      <c r="S20" s="51"/>
      <c r="T20" s="51"/>
      <c r="U20" s="51"/>
      <c r="V20" s="51"/>
      <c r="W20" s="51"/>
      <c r="X20" s="51"/>
      <c r="Y20" s="19">
        <v>41</v>
      </c>
      <c r="Z20" s="19">
        <v>8.1</v>
      </c>
    </row>
    <row r="21" spans="19:29" x14ac:dyDescent="0.25">
      <c r="S21" s="51"/>
      <c r="T21" s="51"/>
      <c r="U21" s="51"/>
      <c r="X21" s="51"/>
      <c r="Y21" s="19">
        <v>42</v>
      </c>
      <c r="Z21" s="19">
        <v>8.6999999999999993</v>
      </c>
    </row>
    <row r="22" spans="19:29" x14ac:dyDescent="0.25">
      <c r="S22" s="51"/>
      <c r="T22" s="51"/>
      <c r="U22" s="51"/>
      <c r="X22" s="51"/>
      <c r="Y22" s="19">
        <v>41</v>
      </c>
      <c r="Z22" s="19">
        <v>7.8</v>
      </c>
    </row>
    <row r="23" spans="19:29" x14ac:dyDescent="0.25">
      <c r="S23" s="51"/>
      <c r="T23" s="51"/>
      <c r="U23" s="51"/>
      <c r="X23" s="51"/>
      <c r="Y23" s="19">
        <v>43</v>
      </c>
      <c r="Z23" s="19">
        <v>7.8</v>
      </c>
    </row>
    <row r="24" spans="19:29" x14ac:dyDescent="0.25">
      <c r="Y24" s="19">
        <v>42</v>
      </c>
      <c r="Z24" s="19">
        <v>8</v>
      </c>
    </row>
    <row r="25" spans="19:29" x14ac:dyDescent="0.25">
      <c r="Y25" s="19">
        <v>41</v>
      </c>
      <c r="Z25" s="19">
        <v>8</v>
      </c>
    </row>
    <row r="26" spans="19:29" x14ac:dyDescent="0.25">
      <c r="Y26" s="19">
        <v>42</v>
      </c>
      <c r="Z26" s="19">
        <v>8</v>
      </c>
    </row>
    <row r="27" spans="19:29" x14ac:dyDescent="0.25">
      <c r="Y27" s="19">
        <v>42.4</v>
      </c>
      <c r="Z27" s="19">
        <v>8.9</v>
      </c>
      <c r="AC27" s="59"/>
    </row>
    <row r="28" spans="19:29" x14ac:dyDescent="0.25">
      <c r="Y28" s="19">
        <v>45.6</v>
      </c>
      <c r="Z28" s="19">
        <v>7.91</v>
      </c>
      <c r="AC28" s="59"/>
    </row>
    <row r="29" spans="19:29" x14ac:dyDescent="0.25">
      <c r="Y29" s="59">
        <v>46.6</v>
      </c>
      <c r="Z29" s="19">
        <v>7.71</v>
      </c>
      <c r="AC29" s="59"/>
    </row>
    <row r="30" spans="19:29" x14ac:dyDescent="0.25">
      <c r="Y30" s="59">
        <v>43.6</v>
      </c>
      <c r="Z30" s="19">
        <v>8.4</v>
      </c>
      <c r="AC30" s="59"/>
    </row>
    <row r="31" spans="19:29" x14ac:dyDescent="0.25">
      <c r="Y31" s="59">
        <v>41.4</v>
      </c>
      <c r="Z31" s="19">
        <v>9.26</v>
      </c>
      <c r="AC31" s="59"/>
    </row>
    <row r="32" spans="19:29" x14ac:dyDescent="0.25">
      <c r="Y32" s="59">
        <v>46.4</v>
      </c>
      <c r="Z32" s="19">
        <v>8.8000000000000007</v>
      </c>
      <c r="AC32" s="59"/>
    </row>
    <row r="33" spans="25:29" x14ac:dyDescent="0.25">
      <c r="Y33" s="59">
        <v>44.6</v>
      </c>
      <c r="Z33" s="19">
        <v>8.3000000000000007</v>
      </c>
      <c r="AC33" s="59"/>
    </row>
    <row r="34" spans="25:29" x14ac:dyDescent="0.25">
      <c r="Y34" s="59">
        <v>42.4</v>
      </c>
      <c r="Z34" s="19">
        <v>9.26</v>
      </c>
      <c r="AC34" s="59"/>
    </row>
    <row r="35" spans="25:29" x14ac:dyDescent="0.25">
      <c r="Y35" s="59">
        <v>41.5</v>
      </c>
      <c r="Z35" s="19">
        <v>8.2899999999999991</v>
      </c>
      <c r="AC35" s="59"/>
    </row>
    <row r="36" spans="25:29" x14ac:dyDescent="0.25">
      <c r="Y36" s="59">
        <v>42.5</v>
      </c>
      <c r="Z36" s="19">
        <v>8.6199999999999992</v>
      </c>
      <c r="AC36" s="59"/>
    </row>
    <row r="37" spans="25:29" x14ac:dyDescent="0.25">
      <c r="Y37" s="59">
        <v>45.6</v>
      </c>
      <c r="Z37" s="19">
        <v>9.2100000000000009</v>
      </c>
      <c r="AC37" s="59"/>
    </row>
    <row r="38" spans="25:29" x14ac:dyDescent="0.25">
      <c r="Y38" s="59">
        <v>43.4</v>
      </c>
      <c r="Z38" s="19">
        <v>9.83</v>
      </c>
      <c r="AC38" s="59"/>
    </row>
    <row r="39" spans="25:29" x14ac:dyDescent="0.25">
      <c r="Y39" s="59">
        <v>42.5</v>
      </c>
      <c r="Z39" s="19">
        <v>8</v>
      </c>
      <c r="AC39" s="59"/>
    </row>
    <row r="40" spans="25:29" x14ac:dyDescent="0.25">
      <c r="Y40" s="59">
        <v>48.3</v>
      </c>
      <c r="Z40" s="19">
        <v>8.1199999999999992</v>
      </c>
      <c r="AC40" s="59"/>
    </row>
    <row r="41" spans="25:29" x14ac:dyDescent="0.25">
      <c r="Y41" s="59">
        <v>48.6</v>
      </c>
      <c r="Z41" s="19">
        <v>8</v>
      </c>
      <c r="AC41" s="59"/>
    </row>
    <row r="42" spans="25:29" x14ac:dyDescent="0.25">
      <c r="Y42" s="59">
        <v>48.6</v>
      </c>
      <c r="Z42" s="19">
        <v>8.43</v>
      </c>
      <c r="AC42" s="59"/>
    </row>
    <row r="43" spans="25:29" x14ac:dyDescent="0.25">
      <c r="Y43" s="59">
        <v>47.8</v>
      </c>
      <c r="Z43" s="19">
        <v>8.08</v>
      </c>
      <c r="AB43" s="59"/>
      <c r="AC43" s="59"/>
    </row>
    <row r="44" spans="25:29" x14ac:dyDescent="0.25">
      <c r="Y44" s="59">
        <v>48.8</v>
      </c>
      <c r="Z44" s="19">
        <v>8.1199999999999992</v>
      </c>
      <c r="AB44" s="59"/>
      <c r="AC44" s="59"/>
    </row>
    <row r="45" spans="25:29" x14ac:dyDescent="0.25">
      <c r="AB45" s="59"/>
      <c r="AC45" s="59"/>
    </row>
    <row r="46" spans="25:29" x14ac:dyDescent="0.25">
      <c r="AB46" s="59"/>
      <c r="AC46" s="59"/>
    </row>
    <row r="47" spans="25:29" ht="18" x14ac:dyDescent="0.35">
      <c r="Y47" s="51" t="s">
        <v>361</v>
      </c>
      <c r="AB47" s="59"/>
      <c r="AC47" s="59"/>
    </row>
    <row r="48" spans="25:29" ht="18" x14ac:dyDescent="0.35">
      <c r="Y48" s="141" t="s">
        <v>261</v>
      </c>
      <c r="Z48" s="141" t="s">
        <v>359</v>
      </c>
      <c r="AB48" s="59"/>
      <c r="AC48" s="59"/>
    </row>
    <row r="49" spans="25:29" x14ac:dyDescent="0.25">
      <c r="Y49" s="19">
        <v>40</v>
      </c>
      <c r="Z49" s="19">
        <v>7.7</v>
      </c>
      <c r="AB49" s="59"/>
      <c r="AC49" s="59"/>
    </row>
    <row r="50" spans="25:29" x14ac:dyDescent="0.25">
      <c r="Y50" s="19">
        <v>41</v>
      </c>
      <c r="Z50" s="19">
        <v>7.9</v>
      </c>
    </row>
    <row r="51" spans="25:29" x14ac:dyDescent="0.25">
      <c r="Y51" s="19">
        <v>42</v>
      </c>
      <c r="Z51" s="19">
        <v>7.1</v>
      </c>
    </row>
    <row r="52" spans="25:29" x14ac:dyDescent="0.25">
      <c r="Y52" s="19">
        <v>43</v>
      </c>
      <c r="Z52" s="19">
        <v>7</v>
      </c>
    </row>
    <row r="53" spans="25:29" x14ac:dyDescent="0.25">
      <c r="Y53" s="19">
        <v>42</v>
      </c>
      <c r="Z53" s="19">
        <v>8</v>
      </c>
    </row>
    <row r="54" spans="25:29" x14ac:dyDescent="0.25">
      <c r="Y54" s="19">
        <v>44</v>
      </c>
      <c r="Z54" s="19">
        <v>7.6</v>
      </c>
    </row>
    <row r="55" spans="25:29" x14ac:dyDescent="0.25">
      <c r="Y55" s="19">
        <v>45</v>
      </c>
      <c r="Z55" s="19">
        <v>8.1999999999999993</v>
      </c>
    </row>
    <row r="56" spans="25:29" x14ac:dyDescent="0.25">
      <c r="Y56" s="19">
        <v>46</v>
      </c>
      <c r="Z56" s="19">
        <v>7</v>
      </c>
    </row>
    <row r="57" spans="25:29" x14ac:dyDescent="0.25">
      <c r="Y57" s="19">
        <v>45</v>
      </c>
      <c r="Z57" s="19">
        <v>7.8</v>
      </c>
    </row>
    <row r="58" spans="25:29" x14ac:dyDescent="0.25">
      <c r="Y58" s="19">
        <v>43</v>
      </c>
      <c r="Z58" s="19">
        <v>7.8</v>
      </c>
    </row>
    <row r="59" spans="25:29" x14ac:dyDescent="0.25">
      <c r="Y59" s="19">
        <v>42</v>
      </c>
      <c r="Z59" s="19">
        <v>8.1999999999999993</v>
      </c>
    </row>
    <row r="60" spans="25:29" x14ac:dyDescent="0.25">
      <c r="Y60" s="19">
        <v>45</v>
      </c>
      <c r="Z60" s="19">
        <v>6.9</v>
      </c>
    </row>
    <row r="61" spans="25:29" x14ac:dyDescent="0.25">
      <c r="Y61" s="19">
        <v>45</v>
      </c>
      <c r="Z61" s="19">
        <v>6.7</v>
      </c>
    </row>
    <row r="62" spans="25:29" x14ac:dyDescent="0.25">
      <c r="Y62" s="19">
        <v>46</v>
      </c>
      <c r="Z62" s="19">
        <v>6.5</v>
      </c>
    </row>
    <row r="63" spans="25:29" x14ac:dyDescent="0.25">
      <c r="Y63" s="19">
        <v>45</v>
      </c>
      <c r="Z63" s="19">
        <v>6.9</v>
      </c>
    </row>
    <row r="64" spans="25:29" x14ac:dyDescent="0.25">
      <c r="Y64" s="19">
        <v>45</v>
      </c>
      <c r="Z64" s="19">
        <v>7.5</v>
      </c>
    </row>
    <row r="65" spans="25:26" x14ac:dyDescent="0.25">
      <c r="Y65" s="19">
        <v>45</v>
      </c>
      <c r="Z65" s="19">
        <v>7.9</v>
      </c>
    </row>
    <row r="66" spans="25:26" x14ac:dyDescent="0.25">
      <c r="Y66" s="19">
        <v>43</v>
      </c>
      <c r="Z66" s="19">
        <v>7.7</v>
      </c>
    </row>
    <row r="67" spans="25:26" x14ac:dyDescent="0.25">
      <c r="Y67" s="19">
        <v>42</v>
      </c>
      <c r="Z67" s="19">
        <v>8.3000000000000007</v>
      </c>
    </row>
    <row r="68" spans="25:26" x14ac:dyDescent="0.25">
      <c r="Y68" s="19">
        <v>44</v>
      </c>
      <c r="Z68" s="19">
        <v>7.9</v>
      </c>
    </row>
    <row r="69" spans="25:26" x14ac:dyDescent="0.25">
      <c r="Y69" s="19">
        <v>45</v>
      </c>
      <c r="Z69" s="19">
        <v>7.3</v>
      </c>
    </row>
    <row r="71" spans="25:26" ht="18" x14ac:dyDescent="0.35">
      <c r="Y71" s="51" t="s">
        <v>362</v>
      </c>
    </row>
    <row r="72" spans="25:26" ht="18" x14ac:dyDescent="0.35">
      <c r="Y72" s="141" t="s">
        <v>261</v>
      </c>
      <c r="Z72" s="141" t="s">
        <v>359</v>
      </c>
    </row>
    <row r="73" spans="25:26" x14ac:dyDescent="0.25">
      <c r="Y73" s="19">
        <v>46</v>
      </c>
      <c r="Z73" s="19">
        <v>6.1</v>
      </c>
    </row>
    <row r="74" spans="25:26" x14ac:dyDescent="0.25">
      <c r="Y74" s="19">
        <v>42</v>
      </c>
      <c r="Z74" s="19">
        <v>7</v>
      </c>
    </row>
  </sheetData>
  <pageMargins left="0.7" right="0.7" top="0.75" bottom="0.75" header="0.3" footer="0.3"/>
  <pageSetup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J36" sqref="J36"/>
    </sheetView>
  </sheetViews>
  <sheetFormatPr defaultRowHeight="14.25" x14ac:dyDescent="0.2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B3:U37"/>
  <sheetViews>
    <sheetView zoomScale="90" zoomScaleNormal="90" workbookViewId="0">
      <selection activeCell="D28" sqref="D28:M34"/>
    </sheetView>
  </sheetViews>
  <sheetFormatPr defaultRowHeight="15" x14ac:dyDescent="0.25"/>
  <cols>
    <col min="1" max="1" width="8.796875" style="1"/>
    <col min="2" max="2" width="13.19921875" style="1" customWidth="1"/>
    <col min="3" max="3" width="8.8984375" style="1" customWidth="1"/>
    <col min="4" max="4" width="11.3984375" style="1" bestFit="1" customWidth="1"/>
    <col min="5" max="5" width="11" style="1" customWidth="1"/>
    <col min="6" max="6" width="6" style="1" customWidth="1"/>
    <col min="7" max="7" width="8.796875" style="1"/>
    <col min="8" max="8" width="13.19921875" style="1" customWidth="1"/>
    <col min="9" max="9" width="8.8984375" style="1" customWidth="1"/>
    <col min="10" max="10" width="11.3984375" style="1" customWidth="1"/>
    <col min="11" max="11" width="11" style="1" customWidth="1"/>
    <col min="12" max="12" width="6" style="1" customWidth="1"/>
    <col min="13" max="13" width="8.796875" style="1"/>
    <col min="14" max="15" width="13.19921875" style="1" customWidth="1"/>
    <col min="16" max="16" width="8.796875" style="1"/>
    <col min="17" max="17" width="5.8984375" style="1" customWidth="1"/>
    <col min="18" max="16384" width="8.796875" style="1"/>
  </cols>
  <sheetData>
    <row r="3" spans="2:21" x14ac:dyDescent="0.25">
      <c r="B3" s="209" t="s">
        <v>184</v>
      </c>
      <c r="C3" s="209"/>
      <c r="D3" s="209"/>
      <c r="E3" s="209"/>
      <c r="F3" s="209"/>
      <c r="H3" s="209" t="s">
        <v>185</v>
      </c>
      <c r="I3" s="209"/>
      <c r="J3" s="209"/>
      <c r="K3" s="209"/>
      <c r="L3" s="209"/>
    </row>
    <row r="4" spans="2:21" x14ac:dyDescent="0.25">
      <c r="B4" s="2" t="s">
        <v>58</v>
      </c>
      <c r="C4" s="2"/>
      <c r="D4" s="2"/>
      <c r="E4" s="2"/>
      <c r="F4" s="2"/>
      <c r="H4" s="2" t="s">
        <v>58</v>
      </c>
      <c r="I4" s="2"/>
      <c r="J4" s="2"/>
      <c r="K4" s="2"/>
      <c r="L4" s="2"/>
      <c r="N4" s="2" t="s">
        <v>5</v>
      </c>
      <c r="O4" s="2"/>
      <c r="P4" s="2"/>
      <c r="Q4" s="2"/>
    </row>
    <row r="5" spans="2:21" x14ac:dyDescent="0.25">
      <c r="B5" s="1" t="s">
        <v>186</v>
      </c>
      <c r="E5" s="23">
        <f>'reaalsed andmed'!E65</f>
        <v>160.30833333333334</v>
      </c>
      <c r="F5" s="3" t="s">
        <v>0</v>
      </c>
      <c r="H5" s="1" t="s">
        <v>190</v>
      </c>
      <c r="K5" s="23">
        <f>ROUND('reaalsed andmed'!G65,0)</f>
        <v>44</v>
      </c>
      <c r="L5" s="3" t="s">
        <v>0</v>
      </c>
      <c r="N5" s="1" t="s">
        <v>6</v>
      </c>
      <c r="P5" s="23">
        <f>'reaalsed andmed'!D65</f>
        <v>44.396999999999984</v>
      </c>
      <c r="Q5" s="1" t="s">
        <v>57</v>
      </c>
    </row>
    <row r="6" spans="2:21" x14ac:dyDescent="0.25">
      <c r="B6" s="1" t="s">
        <v>187</v>
      </c>
      <c r="E6" s="5">
        <f>niiskusesisaldus</f>
        <v>0.19445987653016258</v>
      </c>
      <c r="F6" s="1" t="s">
        <v>1</v>
      </c>
      <c r="H6" s="1" t="s">
        <v>191</v>
      </c>
      <c r="K6" s="5">
        <f>VLOOKUP(väljund_temp,väljund_niiskus,2,0)</f>
        <v>6.1499999999999999E-2</v>
      </c>
      <c r="L6" s="1" t="s">
        <v>1</v>
      </c>
      <c r="N6" s="1" t="s">
        <v>357</v>
      </c>
      <c r="P6" s="23">
        <v>9</v>
      </c>
      <c r="Q6" s="1" t="s">
        <v>57</v>
      </c>
      <c r="R6" s="74"/>
    </row>
    <row r="7" spans="2:21" ht="18" x14ac:dyDescent="0.35">
      <c r="B7" s="1" t="s">
        <v>189</v>
      </c>
      <c r="E7" s="5">
        <f>kuiv_õhk</f>
        <v>4.0021868801449578</v>
      </c>
      <c r="F7" s="1" t="s">
        <v>2</v>
      </c>
      <c r="H7" s="1" t="s">
        <v>192</v>
      </c>
      <c r="K7" s="5">
        <f>E7</f>
        <v>4.0021868801449578</v>
      </c>
      <c r="L7" s="1" t="s">
        <v>2</v>
      </c>
      <c r="N7" s="1" t="s">
        <v>7</v>
      </c>
      <c r="P7" s="203" t="s">
        <v>8</v>
      </c>
      <c r="Q7" s="203"/>
      <c r="R7" s="72"/>
      <c r="S7" s="5"/>
      <c r="U7" s="5"/>
    </row>
    <row r="8" spans="2:21" ht="18" x14ac:dyDescent="0.35">
      <c r="B8" s="1" t="s">
        <v>188</v>
      </c>
      <c r="E8" s="5">
        <f>veeaur</f>
        <v>0.77826476656362509</v>
      </c>
      <c r="F8" s="1" t="s">
        <v>2</v>
      </c>
      <c r="H8" s="1" t="s">
        <v>193</v>
      </c>
      <c r="K8" s="5">
        <f>IFERROR(ROUND(K6/E6*E8,3),"")</f>
        <v>0.246</v>
      </c>
      <c r="L8" s="1" t="s">
        <v>2</v>
      </c>
      <c r="N8" s="1" t="s">
        <v>194</v>
      </c>
      <c r="P8" s="23">
        <f>kütteväärtus</f>
        <v>10.001875866741651</v>
      </c>
      <c r="Q8" s="1" t="str">
        <f>IF(P7="maagaas","MJ/m3","MJ/kg")</f>
        <v>MJ/kg</v>
      </c>
      <c r="R8" s="72"/>
      <c r="S8" s="5"/>
      <c r="T8" s="5"/>
      <c r="U8" s="5"/>
    </row>
    <row r="9" spans="2:21" x14ac:dyDescent="0.25">
      <c r="E9" s="5"/>
      <c r="J9" s="5"/>
      <c r="K9" s="5"/>
      <c r="N9" s="1" t="s">
        <v>9</v>
      </c>
      <c r="P9" s="5">
        <f>IFERROR(P5/P8,"")</f>
        <v>4.4388673276409465</v>
      </c>
      <c r="Q9" s="1" t="s">
        <v>2</v>
      </c>
    </row>
    <row r="10" spans="2:21" x14ac:dyDescent="0.25">
      <c r="B10" s="4"/>
      <c r="C10" s="4"/>
      <c r="D10" s="4"/>
      <c r="E10" s="4"/>
      <c r="F10" s="4"/>
      <c r="N10" s="1" t="s">
        <v>10</v>
      </c>
      <c r="P10" s="22">
        <f>'reaalsed andmed'!I65</f>
        <v>0.40754790489061576</v>
      </c>
    </row>
    <row r="11" spans="2:21" x14ac:dyDescent="0.25">
      <c r="B11" s="92" t="s">
        <v>195</v>
      </c>
      <c r="C11" s="92"/>
      <c r="D11" s="92"/>
      <c r="E11" s="93">
        <f>kütusekulu*(E13+E14)*E8</f>
        <v>9240.8519409178734</v>
      </c>
      <c r="F11" s="92" t="s">
        <v>203</v>
      </c>
      <c r="H11" s="92" t="s">
        <v>196</v>
      </c>
      <c r="I11" s="92"/>
      <c r="J11" s="2"/>
      <c r="K11" s="93">
        <f>K8*(K13+K14)*kütusekulu</f>
        <v>2828.0925722241445</v>
      </c>
      <c r="L11" s="92" t="s">
        <v>203</v>
      </c>
      <c r="N11" s="1" t="s">
        <v>66</v>
      </c>
      <c r="P11" s="36">
        <f>P12*1000/3600</f>
        <v>217.9124553571429</v>
      </c>
      <c r="Q11" s="1" t="s">
        <v>2</v>
      </c>
    </row>
    <row r="12" spans="2:21" ht="18" x14ac:dyDescent="0.35">
      <c r="B12" s="1" t="s">
        <v>197</v>
      </c>
      <c r="E12" s="5">
        <f>VLOOKUP(sg_temp,aur_erisoojus,2,1)</f>
        <v>1.9795</v>
      </c>
      <c r="F12" s="1" t="s">
        <v>201</v>
      </c>
      <c r="H12" s="1" t="s">
        <v>200</v>
      </c>
      <c r="K12" s="5">
        <f>VLOOKUP(väljund_temp,vee_erisoojus,2,1)</f>
        <v>4.18</v>
      </c>
      <c r="L12" s="1" t="s">
        <v>201</v>
      </c>
      <c r="N12" s="1" t="s">
        <v>66</v>
      </c>
      <c r="P12" s="36">
        <f>P13*(VLOOKUP(väljund_temp,vee_tihedus,2,1))/1000</f>
        <v>784.48483928571443</v>
      </c>
      <c r="Q12" s="1" t="s">
        <v>68</v>
      </c>
    </row>
    <row r="13" spans="2:21" ht="17.25" x14ac:dyDescent="0.25">
      <c r="B13" s="1" t="s">
        <v>204</v>
      </c>
      <c r="E13" s="23">
        <f>E12*sg_temp</f>
        <v>317.33034583333335</v>
      </c>
      <c r="F13" s="1" t="s">
        <v>202</v>
      </c>
      <c r="H13" s="1" t="s">
        <v>205</v>
      </c>
      <c r="K13" s="1">
        <f>K12*väljund_temp</f>
        <v>183.92</v>
      </c>
      <c r="L13" s="1" t="s">
        <v>202</v>
      </c>
      <c r="N13" s="1" t="s">
        <v>66</v>
      </c>
      <c r="P13" s="36">
        <f>'reaalsed andmed'!O65</f>
        <v>792.40892857142876</v>
      </c>
      <c r="Q13" s="1" t="s">
        <v>69</v>
      </c>
    </row>
    <row r="14" spans="2:21" ht="18" x14ac:dyDescent="0.35">
      <c r="B14" s="1" t="s">
        <v>198</v>
      </c>
      <c r="E14" s="1">
        <f>VLOOKUP(k_temp,vee_kondsoojus,2,1)</f>
        <v>2357.6</v>
      </c>
      <c r="F14" s="1" t="s">
        <v>202</v>
      </c>
      <c r="H14" s="1" t="s">
        <v>199</v>
      </c>
      <c r="K14" s="36">
        <f>VLOOKUP(väljund_temp,vee_kondsoojus,2,1)</f>
        <v>2406</v>
      </c>
      <c r="L14" s="1" t="s">
        <v>202</v>
      </c>
    </row>
    <row r="15" spans="2:21" x14ac:dyDescent="0.25">
      <c r="N15" s="2" t="s">
        <v>3</v>
      </c>
      <c r="O15" s="2"/>
      <c r="P15" s="2"/>
      <c r="Q15" s="2"/>
    </row>
    <row r="16" spans="2:21" ht="18" x14ac:dyDescent="0.35">
      <c r="N16" s="98" t="s">
        <v>217</v>
      </c>
      <c r="O16" s="98"/>
      <c r="P16" s="99">
        <f>(E25-K25)/1000</f>
        <v>8.5427795758108811</v>
      </c>
      <c r="Q16" s="98" t="s">
        <v>57</v>
      </c>
      <c r="R16" s="23"/>
    </row>
    <row r="17" spans="2:17" ht="18" x14ac:dyDescent="0.35">
      <c r="B17" s="92" t="s">
        <v>208</v>
      </c>
      <c r="C17" s="92"/>
      <c r="D17" s="92"/>
      <c r="E17" s="93">
        <f>SUM(E19:E22)*kütusekulu</f>
        <v>2902.2385214129918</v>
      </c>
      <c r="F17" s="92" t="s">
        <v>203</v>
      </c>
      <c r="H17" s="92" t="s">
        <v>209</v>
      </c>
      <c r="I17" s="92"/>
      <c r="J17" s="92"/>
      <c r="K17" s="93">
        <f>SUM(K19:K22)*kütusekulu</f>
        <v>772.21831429584097</v>
      </c>
      <c r="L17" s="92" t="s">
        <v>203</v>
      </c>
      <c r="N17" s="98" t="s">
        <v>363</v>
      </c>
      <c r="P17" s="99">
        <f>IF(P16&lt;soojusvahetus!G10,P16,soojusvahetus!G10)</f>
        <v>8.0836496101773179</v>
      </c>
      <c r="Q17" s="98" t="s">
        <v>57</v>
      </c>
    </row>
    <row r="18" spans="2:17" x14ac:dyDescent="0.25">
      <c r="B18" s="1" t="s">
        <v>210</v>
      </c>
      <c r="C18" s="1" t="s">
        <v>212</v>
      </c>
      <c r="D18" s="5" t="s">
        <v>213</v>
      </c>
      <c r="E18" s="1" t="s">
        <v>211</v>
      </c>
      <c r="H18" s="1" t="s">
        <v>210</v>
      </c>
      <c r="I18" s="1" t="s">
        <v>212</v>
      </c>
      <c r="J18" s="5" t="s">
        <v>213</v>
      </c>
      <c r="K18" s="1" t="s">
        <v>211</v>
      </c>
      <c r="N18" s="1" t="s">
        <v>4</v>
      </c>
      <c r="P18" s="28">
        <f>IFERROR(ROUND(P16/P5,4),"")</f>
        <v>0.19239999999999999</v>
      </c>
    </row>
    <row r="19" spans="2:17" ht="18" x14ac:dyDescent="0.35">
      <c r="B19" s="1" t="s">
        <v>150</v>
      </c>
      <c r="C19" s="5">
        <f>suitsugaasid!K20+suitsugaasid!W6</f>
        <v>2.8448923174858014</v>
      </c>
      <c r="D19" s="5">
        <f>VLOOKUP(sg_temp,kuivadgaasid_erisoojus,3,1)</f>
        <v>1.0478000000000001</v>
      </c>
      <c r="E19" s="23">
        <f>D19*C19*sg_temp</f>
        <v>477.85961134435701</v>
      </c>
      <c r="F19" s="1" t="s">
        <v>202</v>
      </c>
      <c r="H19" s="1" t="s">
        <v>150</v>
      </c>
      <c r="I19" s="5">
        <f>C19</f>
        <v>2.8448923174858014</v>
      </c>
      <c r="J19" s="5">
        <f>VLOOKUP(väljund_temp,kuivadgaasid_erisoojus,3,1)</f>
        <v>1.0415000000000001</v>
      </c>
      <c r="K19" s="23">
        <f>J19*I19*väljund_temp</f>
        <v>130.37003534110434</v>
      </c>
      <c r="L19" s="1" t="s">
        <v>202</v>
      </c>
      <c r="N19" s="1" t="s">
        <v>11</v>
      </c>
      <c r="P19" s="5">
        <f>IFERROR(IF(E8="","",E8-K8),"")</f>
        <v>0.53226476656362509</v>
      </c>
      <c r="Q19" s="1" t="s">
        <v>2</v>
      </c>
    </row>
    <row r="20" spans="2:17" ht="18" x14ac:dyDescent="0.35">
      <c r="B20" s="1" t="s">
        <v>152</v>
      </c>
      <c r="C20" s="5">
        <f>suitsugaasid!W5+suitsugaasid!K24</f>
        <v>1.0674097852260163</v>
      </c>
      <c r="D20" s="5">
        <f>VLOOKUP(sg_temp,kuivadgaasid_erisoojus,4,1)</f>
        <v>0.96780999999999995</v>
      </c>
      <c r="E20" s="23">
        <f>D20*C20*sg_temp</f>
        <v>165.60650198647505</v>
      </c>
      <c r="F20" s="1" t="s">
        <v>202</v>
      </c>
      <c r="H20" s="1" t="s">
        <v>152</v>
      </c>
      <c r="I20" s="5">
        <f t="shared" ref="I20:I22" si="0">C20</f>
        <v>1.0674097852260163</v>
      </c>
      <c r="J20" s="5">
        <f>VLOOKUP(väljund_temp,kuivadgaasid_erisoojus,4,1)</f>
        <v>0.86882999999999999</v>
      </c>
      <c r="K20" s="23">
        <f>J20*I20*väljund_temp</f>
        <v>40.805496322708464</v>
      </c>
      <c r="L20" s="1" t="s">
        <v>202</v>
      </c>
      <c r="N20" s="1" t="s">
        <v>67</v>
      </c>
      <c r="P20" s="23">
        <f>P16/P11/(VLOOKUP(väljund_temp,vee_erisoojus,2,1))*1000</f>
        <v>9.3786615725893228</v>
      </c>
      <c r="Q20" s="39" t="s">
        <v>65</v>
      </c>
    </row>
    <row r="21" spans="2:17" ht="18" x14ac:dyDescent="0.35">
      <c r="B21" s="1" t="s">
        <v>214</v>
      </c>
      <c r="C21" s="5">
        <f>suitsugaasid!W8</f>
        <v>4.1349164387684323E-2</v>
      </c>
      <c r="D21" s="5">
        <f>VLOOKUP(sg_temp,kuivadgaasid_erisoojus,5,1)</f>
        <v>0.95126999999999995</v>
      </c>
      <c r="E21" s="23">
        <f>D21*C21*sg_temp</f>
        <v>6.3056031881771082</v>
      </c>
      <c r="F21" s="1" t="s">
        <v>202</v>
      </c>
      <c r="H21" s="1" t="s">
        <v>214</v>
      </c>
      <c r="I21" s="5">
        <f t="shared" si="0"/>
        <v>4.1349164387684323E-2</v>
      </c>
      <c r="J21" s="5">
        <f>VLOOKUP(väljund_temp,kuivadgaasid_erisoojus,5,1)</f>
        <v>0.92256000000000005</v>
      </c>
      <c r="K21" s="23">
        <f>J21*I21*väljund_temp</f>
        <v>1.6784717442900903</v>
      </c>
      <c r="L21" s="1" t="s">
        <v>202</v>
      </c>
      <c r="N21" s="1" t="s">
        <v>206</v>
      </c>
      <c r="O21" s="22"/>
      <c r="P21" s="22">
        <f>P17/P16</f>
        <v>0.94625520165197718</v>
      </c>
      <c r="Q21" s="23"/>
    </row>
    <row r="22" spans="2:17" x14ac:dyDescent="0.25">
      <c r="B22" s="1" t="s">
        <v>151</v>
      </c>
      <c r="C22" s="5">
        <f>suitsugaasid!K22</f>
        <v>4.8535613045456442E-2</v>
      </c>
      <c r="D22" s="5">
        <f>VLOOKUP(sg_temp,kuivadgaasid_erisoojus,2,1)</f>
        <v>0.52083000000000002</v>
      </c>
      <c r="E22" s="23">
        <f>D22*C22*sg_temp</f>
        <v>4.0524028324916728</v>
      </c>
      <c r="F22" s="1" t="s">
        <v>202</v>
      </c>
      <c r="H22" s="1" t="s">
        <v>151</v>
      </c>
      <c r="I22" s="5">
        <f t="shared" si="0"/>
        <v>4.8535613045456442E-2</v>
      </c>
      <c r="J22" s="5">
        <f>VLOOKUP(väljund_temp,kuivadgaasid_erisoojus,2,1)</f>
        <v>0.52137</v>
      </c>
      <c r="K22" s="23">
        <f>J22*I22*väljund_temp</f>
        <v>1.1134205532344237</v>
      </c>
      <c r="L22" s="1" t="s">
        <v>202</v>
      </c>
      <c r="N22" s="1" t="s">
        <v>207</v>
      </c>
      <c r="P22" s="22">
        <f>P17/P6</f>
        <v>0.89818329001970199</v>
      </c>
    </row>
    <row r="23" spans="2:17" x14ac:dyDescent="0.25">
      <c r="P23" s="36"/>
    </row>
    <row r="24" spans="2:17" x14ac:dyDescent="0.25">
      <c r="P24" s="23"/>
    </row>
    <row r="25" spans="2:17" x14ac:dyDescent="0.25">
      <c r="B25" s="92" t="s">
        <v>215</v>
      </c>
      <c r="C25" s="92"/>
      <c r="D25" s="92"/>
      <c r="E25" s="93">
        <f>E17+E11</f>
        <v>12143.090462330865</v>
      </c>
      <c r="F25" s="92" t="s">
        <v>203</v>
      </c>
      <c r="H25" s="92" t="s">
        <v>216</v>
      </c>
      <c r="I25" s="92"/>
      <c r="J25" s="97"/>
      <c r="K25" s="93">
        <f>K11+K17</f>
        <v>3600.3108865199856</v>
      </c>
      <c r="L25" s="92" t="s">
        <v>203</v>
      </c>
      <c r="P25" s="72"/>
    </row>
    <row r="26" spans="2:17" x14ac:dyDescent="0.25">
      <c r="P26" s="72"/>
    </row>
    <row r="27" spans="2:17" x14ac:dyDescent="0.25">
      <c r="P27" s="72"/>
    </row>
    <row r="28" spans="2:17" x14ac:dyDescent="0.25">
      <c r="F28" s="5"/>
      <c r="P28" s="72"/>
    </row>
    <row r="29" spans="2:17" x14ac:dyDescent="0.25">
      <c r="C29" s="5"/>
      <c r="G29" s="5"/>
      <c r="H29" s="42"/>
      <c r="I29" s="5"/>
      <c r="K29" s="5"/>
    </row>
    <row r="30" spans="2:17" x14ac:dyDescent="0.25">
      <c r="C30" s="5"/>
      <c r="G30" s="5"/>
      <c r="H30" s="42"/>
      <c r="I30" s="5"/>
      <c r="K30" s="5"/>
    </row>
    <row r="31" spans="2:17" x14ac:dyDescent="0.25">
      <c r="C31" s="5"/>
      <c r="F31" s="5"/>
      <c r="G31" s="5"/>
      <c r="H31" s="42"/>
      <c r="I31" s="5"/>
      <c r="K31" s="5"/>
    </row>
    <row r="32" spans="2:17" x14ac:dyDescent="0.25">
      <c r="C32" s="5"/>
      <c r="G32" s="5"/>
      <c r="H32" s="42"/>
      <c r="I32" s="5"/>
      <c r="K32" s="5"/>
    </row>
    <row r="33" spans="8:12" x14ac:dyDescent="0.25">
      <c r="H33" s="42"/>
      <c r="I33" s="5"/>
      <c r="K33" s="5"/>
    </row>
    <row r="37" spans="8:12" x14ac:dyDescent="0.25">
      <c r="J37" s="24"/>
      <c r="K37" s="24"/>
      <c r="L37" s="36"/>
    </row>
  </sheetData>
  <mergeCells count="3">
    <mergeCell ref="B3:F3"/>
    <mergeCell ref="H3:L3"/>
    <mergeCell ref="P7:Q7"/>
  </mergeCell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kütteväärtused!$B$12:$B$17</xm:f>
          </x14:formula1>
          <xm:sqref>P7:Q7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B2:N42"/>
  <sheetViews>
    <sheetView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11" sqref="C11"/>
    </sheetView>
  </sheetViews>
  <sheetFormatPr defaultRowHeight="15" x14ac:dyDescent="0.25"/>
  <cols>
    <col min="1" max="1" width="8.796875" style="1"/>
    <col min="2" max="2" width="22.296875" style="1" bestFit="1" customWidth="1"/>
    <col min="3" max="3" width="12.3984375" style="1" bestFit="1" customWidth="1"/>
    <col min="4" max="4" width="14.296875" style="1" bestFit="1" customWidth="1"/>
    <col min="5" max="5" width="19.19921875" style="1" bestFit="1" customWidth="1"/>
    <col min="6" max="6" width="19.19921875" style="1" customWidth="1"/>
    <col min="7" max="7" width="19.3984375" style="1" bestFit="1" customWidth="1"/>
    <col min="8" max="8" width="8.796875" style="1"/>
    <col min="9" max="9" width="19.59765625" style="1" bestFit="1" customWidth="1"/>
    <col min="10" max="10" width="17.19921875" style="1" bestFit="1" customWidth="1"/>
    <col min="11" max="11" width="18.796875" style="1" bestFit="1" customWidth="1"/>
    <col min="12" max="12" width="17.19921875" style="1" bestFit="1" customWidth="1"/>
    <col min="13" max="13" width="14.69921875" style="1" bestFit="1" customWidth="1"/>
    <col min="14" max="16384" width="8.796875" style="1"/>
  </cols>
  <sheetData>
    <row r="2" spans="2:14" x14ac:dyDescent="0.25">
      <c r="B2" s="1" t="s">
        <v>397</v>
      </c>
    </row>
    <row r="3" spans="2:14" x14ac:dyDescent="0.25">
      <c r="E3" s="24"/>
      <c r="F3" s="24"/>
    </row>
    <row r="4" spans="2:14" x14ac:dyDescent="0.25">
      <c r="C4" s="127"/>
      <c r="D4" s="127"/>
      <c r="E4" s="127"/>
      <c r="F4" s="127"/>
      <c r="G4" s="127"/>
    </row>
    <row r="5" spans="2:14" ht="18" x14ac:dyDescent="0.35">
      <c r="B5" s="1" t="s">
        <v>396</v>
      </c>
      <c r="C5" s="67" t="s">
        <v>406</v>
      </c>
      <c r="D5" s="67"/>
    </row>
    <row r="6" spans="2:14" x14ac:dyDescent="0.25">
      <c r="B6" s="1">
        <v>30</v>
      </c>
      <c r="C6" s="24">
        <v>0.18543839099959991</v>
      </c>
      <c r="D6" s="5"/>
      <c r="E6" s="72"/>
      <c r="F6" s="72"/>
      <c r="G6" s="5"/>
      <c r="H6" s="5"/>
    </row>
    <row r="7" spans="2:14" ht="18" x14ac:dyDescent="0.35">
      <c r="B7" s="1">
        <v>31</v>
      </c>
      <c r="C7" s="24">
        <v>0.18622321927165339</v>
      </c>
      <c r="D7" s="5"/>
      <c r="E7" s="102"/>
      <c r="G7" s="4" t="s">
        <v>398</v>
      </c>
      <c r="H7" s="4" t="s">
        <v>1</v>
      </c>
      <c r="I7" s="4" t="s">
        <v>403</v>
      </c>
      <c r="J7" s="4" t="s">
        <v>404</v>
      </c>
      <c r="K7" s="4" t="s">
        <v>405</v>
      </c>
      <c r="M7" s="27"/>
      <c r="N7" s="27"/>
    </row>
    <row r="8" spans="2:14" x14ac:dyDescent="0.25">
      <c r="B8" s="1">
        <v>32</v>
      </c>
      <c r="C8" s="24">
        <v>0.18676162644422006</v>
      </c>
      <c r="D8" s="5"/>
      <c r="E8" s="102"/>
      <c r="G8" s="27" t="s">
        <v>399</v>
      </c>
      <c r="H8" s="43">
        <f>suitsugaasid!K20</f>
        <v>2.843883576882213</v>
      </c>
      <c r="I8" s="1">
        <v>1.1496</v>
      </c>
      <c r="J8" s="1">
        <f>I8*20</f>
        <v>22.991999999999997</v>
      </c>
      <c r="K8" s="23">
        <f>J8*kütusekulu*H8</f>
        <v>290.24231456470955</v>
      </c>
      <c r="M8" s="50"/>
      <c r="N8" s="27"/>
    </row>
    <row r="9" spans="2:14" x14ac:dyDescent="0.25">
      <c r="B9" s="1">
        <v>33</v>
      </c>
      <c r="C9" s="24">
        <v>0.18730872866453321</v>
      </c>
      <c r="D9" s="5"/>
      <c r="E9" s="102"/>
      <c r="F9" s="72"/>
      <c r="G9" s="27" t="s">
        <v>400</v>
      </c>
      <c r="H9" s="43">
        <f>suitsugaasid!K19</f>
        <v>0.86833245214136912</v>
      </c>
      <c r="I9" s="27">
        <v>1.3138000000000001</v>
      </c>
      <c r="J9" s="1">
        <f>I9*20</f>
        <v>26.276000000000003</v>
      </c>
      <c r="K9" s="23">
        <f>J9*kütusekulu*H9</f>
        <v>101.27854419902744</v>
      </c>
      <c r="M9" s="50"/>
      <c r="N9" s="27"/>
    </row>
    <row r="10" spans="2:14" x14ac:dyDescent="0.25">
      <c r="B10" s="1">
        <f>B9+1</f>
        <v>34</v>
      </c>
      <c r="C10" s="24">
        <v>0.18766928106056976</v>
      </c>
      <c r="D10" s="5"/>
      <c r="E10" s="102"/>
      <c r="G10" s="166" t="s">
        <v>401</v>
      </c>
      <c r="H10" s="27">
        <f>suitsugaasid!K22</f>
        <v>4.8535613045456442E-2</v>
      </c>
      <c r="I10" s="27">
        <v>0.52159</v>
      </c>
      <c r="J10" s="1">
        <f>I10*20</f>
        <v>10.431799999999999</v>
      </c>
      <c r="K10" s="23">
        <f>J10*kütusekulu*H10</f>
        <v>2.2474598206085918</v>
      </c>
      <c r="M10" s="50"/>
      <c r="N10" s="27"/>
    </row>
    <row r="11" spans="2:14" x14ac:dyDescent="0.25">
      <c r="B11" s="1">
        <f t="shared" ref="B11:B35" si="0">B10+1</f>
        <v>35</v>
      </c>
      <c r="C11" s="24">
        <v>0.18815602743539797</v>
      </c>
      <c r="D11" s="5"/>
      <c r="E11" s="72"/>
      <c r="G11" s="167" t="s">
        <v>402</v>
      </c>
      <c r="H11" s="27">
        <f>suitsugaasid!K24</f>
        <v>1.7442485938210909E-3</v>
      </c>
      <c r="I11" s="1">
        <v>1.8151999999999999</v>
      </c>
      <c r="J11" s="1">
        <f>I11*20</f>
        <v>36.304000000000002</v>
      </c>
      <c r="K11" s="23">
        <f>J11*kütusekulu*H11</f>
        <v>0.28108328777895619</v>
      </c>
      <c r="M11" s="50"/>
      <c r="N11" s="27"/>
    </row>
    <row r="12" spans="2:14" x14ac:dyDescent="0.25">
      <c r="B12" s="1">
        <f t="shared" si="0"/>
        <v>36</v>
      </c>
      <c r="C12" s="24">
        <v>0.18847021887736273</v>
      </c>
      <c r="D12" s="5"/>
      <c r="E12" s="72"/>
      <c r="G12" s="167" t="s">
        <v>252</v>
      </c>
      <c r="H12" s="27">
        <f>suitsugaasid!K26</f>
        <v>2.7528793024219823E-2</v>
      </c>
      <c r="I12" s="1">
        <v>4.1840999999999999</v>
      </c>
      <c r="J12" s="1">
        <f>I12*20</f>
        <v>83.682000000000002</v>
      </c>
      <c r="K12" s="23">
        <f>J12*kütusekulu*H12</f>
        <v>10.225660895810325</v>
      </c>
      <c r="M12" s="50"/>
      <c r="N12" s="27"/>
    </row>
    <row r="13" spans="2:14" x14ac:dyDescent="0.25">
      <c r="B13" s="1">
        <f t="shared" si="0"/>
        <v>37</v>
      </c>
      <c r="C13" s="24">
        <v>0.18852361007268056</v>
      </c>
      <c r="D13" s="5"/>
      <c r="E13" s="72"/>
      <c r="F13" s="145"/>
      <c r="G13" s="27"/>
      <c r="H13" s="27"/>
      <c r="K13" s="168">
        <f>SUM(K8:K12)</f>
        <v>404.27506276793491</v>
      </c>
      <c r="L13" s="1" t="s">
        <v>203</v>
      </c>
    </row>
    <row r="14" spans="2:14" x14ac:dyDescent="0.25">
      <c r="B14" s="1">
        <f t="shared" si="0"/>
        <v>38</v>
      </c>
      <c r="C14" s="24">
        <v>0.18865149055247532</v>
      </c>
      <c r="D14" s="5"/>
      <c r="E14" s="72"/>
      <c r="F14" s="72"/>
      <c r="G14" s="5"/>
      <c r="H14" s="165"/>
    </row>
    <row r="15" spans="2:14" x14ac:dyDescent="0.25">
      <c r="B15" s="1">
        <f t="shared" si="0"/>
        <v>39</v>
      </c>
      <c r="C15" s="24">
        <v>0.18871839635952808</v>
      </c>
      <c r="D15" s="5"/>
      <c r="E15" s="72"/>
      <c r="F15" s="72"/>
      <c r="G15" s="5"/>
      <c r="H15" s="165"/>
    </row>
    <row r="16" spans="2:14" x14ac:dyDescent="0.25">
      <c r="B16" s="1">
        <f t="shared" si="0"/>
        <v>40</v>
      </c>
      <c r="C16" s="24">
        <v>0.18720313865088989</v>
      </c>
      <c r="D16" s="5"/>
      <c r="E16" s="72"/>
      <c r="F16" s="72"/>
      <c r="G16" s="5"/>
      <c r="H16" s="165"/>
    </row>
    <row r="17" spans="2:8" x14ac:dyDescent="0.25">
      <c r="B17" s="1">
        <f t="shared" si="0"/>
        <v>41</v>
      </c>
      <c r="C17" s="24">
        <v>0.18502369967198112</v>
      </c>
      <c r="D17" s="5"/>
      <c r="E17" s="72"/>
      <c r="F17" s="72"/>
      <c r="G17" s="5"/>
    </row>
    <row r="18" spans="2:8" x14ac:dyDescent="0.25">
      <c r="B18" s="1">
        <f t="shared" si="0"/>
        <v>42</v>
      </c>
      <c r="C18" s="24">
        <v>0.18289868624883596</v>
      </c>
      <c r="D18" s="5"/>
      <c r="E18" s="72"/>
      <c r="F18" s="72"/>
      <c r="G18" s="5"/>
      <c r="H18" s="165"/>
    </row>
    <row r="19" spans="2:8" x14ac:dyDescent="0.25">
      <c r="B19" s="1">
        <f t="shared" si="0"/>
        <v>43</v>
      </c>
      <c r="C19" s="24">
        <v>0.18055258284647832</v>
      </c>
      <c r="D19" s="5"/>
      <c r="E19" s="72"/>
      <c r="F19" s="72"/>
      <c r="G19" s="5"/>
      <c r="H19" s="165"/>
    </row>
    <row r="20" spans="2:8" x14ac:dyDescent="0.25">
      <c r="B20" s="1">
        <f t="shared" si="0"/>
        <v>44</v>
      </c>
      <c r="C20" s="24">
        <v>0.17833471745818691</v>
      </c>
      <c r="D20" s="5"/>
      <c r="E20" s="72"/>
      <c r="F20" s="72"/>
      <c r="G20" s="5"/>
      <c r="H20" s="165"/>
    </row>
    <row r="21" spans="2:8" x14ac:dyDescent="0.25">
      <c r="B21" s="1">
        <f t="shared" si="0"/>
        <v>45</v>
      </c>
      <c r="C21" s="24">
        <v>0.17542686863422582</v>
      </c>
      <c r="D21" s="5"/>
      <c r="E21" s="72"/>
      <c r="F21" s="72"/>
      <c r="G21" s="5"/>
      <c r="H21" s="165"/>
    </row>
    <row r="22" spans="2:8" x14ac:dyDescent="0.25">
      <c r="B22" s="1">
        <f t="shared" si="0"/>
        <v>46</v>
      </c>
      <c r="C22" s="24">
        <v>0.17110590275289589</v>
      </c>
      <c r="D22" s="5"/>
      <c r="E22" s="72"/>
      <c r="F22" s="72"/>
      <c r="G22" s="5"/>
      <c r="H22" s="165"/>
    </row>
    <row r="23" spans="2:8" x14ac:dyDescent="0.25">
      <c r="B23" s="1">
        <f t="shared" si="0"/>
        <v>47</v>
      </c>
      <c r="C23" s="24">
        <v>0.16626269006627178</v>
      </c>
      <c r="D23" s="5"/>
      <c r="E23" s="72"/>
      <c r="F23" s="72"/>
      <c r="G23" s="5"/>
      <c r="H23" s="165"/>
    </row>
    <row r="24" spans="2:8" x14ac:dyDescent="0.25">
      <c r="B24" s="1">
        <f t="shared" si="0"/>
        <v>48</v>
      </c>
      <c r="C24" s="24">
        <v>0.16140548996163134</v>
      </c>
      <c r="D24" s="5"/>
      <c r="E24" s="72"/>
      <c r="F24" s="72"/>
      <c r="G24" s="5"/>
      <c r="H24" s="165"/>
    </row>
    <row r="25" spans="2:8" x14ac:dyDescent="0.25">
      <c r="B25" s="1">
        <f t="shared" si="0"/>
        <v>49</v>
      </c>
      <c r="C25" s="24">
        <v>0.15627852716674542</v>
      </c>
      <c r="D25" s="5"/>
      <c r="E25" s="72"/>
      <c r="F25" s="72"/>
      <c r="G25" s="5"/>
      <c r="H25" s="165"/>
    </row>
    <row r="26" spans="2:8" x14ac:dyDescent="0.25">
      <c r="B26" s="1">
        <f t="shared" si="0"/>
        <v>50</v>
      </c>
      <c r="C26" s="24">
        <v>0.15127082880833076</v>
      </c>
      <c r="D26" s="5"/>
      <c r="E26" s="72"/>
      <c r="F26" s="72"/>
      <c r="G26" s="5"/>
      <c r="H26" s="165"/>
    </row>
    <row r="27" spans="2:8" x14ac:dyDescent="0.25">
      <c r="B27" s="1">
        <f t="shared" si="0"/>
        <v>51</v>
      </c>
      <c r="C27" s="24">
        <v>0.14536851755521549</v>
      </c>
      <c r="D27" s="5"/>
      <c r="E27" s="72"/>
      <c r="F27" s="72"/>
      <c r="G27" s="5"/>
      <c r="H27" s="165"/>
    </row>
    <row r="28" spans="2:8" x14ac:dyDescent="0.25">
      <c r="B28" s="1">
        <f t="shared" si="0"/>
        <v>52</v>
      </c>
      <c r="C28" s="24">
        <v>0.13944892772690354</v>
      </c>
      <c r="D28" s="5"/>
      <c r="E28" s="72"/>
      <c r="F28" s="72"/>
      <c r="G28" s="5"/>
      <c r="H28" s="165"/>
    </row>
    <row r="29" spans="2:8" x14ac:dyDescent="0.25">
      <c r="B29" s="1">
        <f t="shared" si="0"/>
        <v>53</v>
      </c>
      <c r="C29" s="24">
        <v>0.13351205932339499</v>
      </c>
      <c r="D29" s="5"/>
      <c r="E29" s="72"/>
      <c r="F29" s="72"/>
      <c r="G29" s="5"/>
      <c r="H29" s="165"/>
    </row>
    <row r="30" spans="2:8" x14ac:dyDescent="0.25">
      <c r="B30" s="1">
        <f>B29+1</f>
        <v>54</v>
      </c>
      <c r="C30" s="24">
        <v>0.12653134687979417</v>
      </c>
      <c r="D30" s="5"/>
      <c r="E30" s="72"/>
      <c r="F30" s="72"/>
      <c r="G30" s="5"/>
      <c r="H30" s="165"/>
    </row>
    <row r="31" spans="2:8" x14ac:dyDescent="0.25">
      <c r="B31" s="1">
        <f t="shared" si="0"/>
        <v>55</v>
      </c>
      <c r="C31" s="24">
        <v>0.12028332183059598</v>
      </c>
      <c r="D31" s="5"/>
      <c r="E31" s="72"/>
      <c r="F31" s="72"/>
      <c r="G31" s="5"/>
      <c r="H31" s="165"/>
    </row>
    <row r="32" spans="2:8" x14ac:dyDescent="0.25">
      <c r="B32" s="1">
        <f t="shared" si="0"/>
        <v>56</v>
      </c>
      <c r="C32" s="24">
        <v>0.11252030875902704</v>
      </c>
      <c r="D32" s="5"/>
      <c r="E32" s="72"/>
      <c r="F32" s="72"/>
      <c r="G32" s="5"/>
    </row>
    <row r="33" spans="2:8" x14ac:dyDescent="0.25">
      <c r="B33" s="1">
        <f t="shared" si="0"/>
        <v>57</v>
      </c>
      <c r="C33" s="24">
        <v>0.1044774617019297</v>
      </c>
      <c r="D33" s="5"/>
      <c r="E33" s="72"/>
      <c r="F33" s="72"/>
      <c r="G33" s="5"/>
      <c r="H33" s="165"/>
    </row>
    <row r="34" spans="2:8" x14ac:dyDescent="0.25">
      <c r="B34" s="1">
        <f t="shared" si="0"/>
        <v>58</v>
      </c>
      <c r="C34" s="24">
        <v>9.5639237224690171E-2</v>
      </c>
      <c r="D34" s="5"/>
      <c r="E34" s="72"/>
      <c r="F34" s="72"/>
      <c r="G34" s="5"/>
      <c r="H34" s="165"/>
    </row>
    <row r="35" spans="2:8" x14ac:dyDescent="0.25">
      <c r="B35" s="1">
        <f t="shared" si="0"/>
        <v>59</v>
      </c>
      <c r="C35" s="24">
        <v>8.6517054973469718E-2</v>
      </c>
      <c r="D35" s="5"/>
      <c r="E35" s="72"/>
      <c r="F35" s="72"/>
      <c r="G35" s="5"/>
      <c r="H35" s="165"/>
    </row>
    <row r="36" spans="2:8" x14ac:dyDescent="0.25">
      <c r="B36" s="1">
        <f>B35+1</f>
        <v>60</v>
      </c>
      <c r="C36" s="24">
        <v>7.8333849308504844E-2</v>
      </c>
      <c r="D36" s="5"/>
      <c r="E36" s="72"/>
      <c r="F36" s="72"/>
      <c r="G36" s="5"/>
      <c r="H36" s="165"/>
    </row>
    <row r="37" spans="2:8" x14ac:dyDescent="0.25">
      <c r="B37" s="1">
        <v>61</v>
      </c>
      <c r="C37" s="24">
        <v>6.8167987161594945E-2</v>
      </c>
      <c r="D37" s="5"/>
      <c r="E37" s="72"/>
      <c r="F37" s="72"/>
      <c r="G37" s="5"/>
      <c r="H37" s="165"/>
    </row>
    <row r="38" spans="2:8" x14ac:dyDescent="0.25">
      <c r="B38" s="1">
        <v>62</v>
      </c>
      <c r="C38" s="24">
        <v>5.7198803150535889E-2</v>
      </c>
      <c r="D38" s="5"/>
      <c r="E38" s="72"/>
      <c r="F38" s="72"/>
      <c r="G38" s="5"/>
    </row>
    <row r="39" spans="2:8" x14ac:dyDescent="0.25">
      <c r="B39" s="1">
        <v>63</v>
      </c>
      <c r="C39" s="24">
        <v>4.5938614509810745E-2</v>
      </c>
    </row>
    <row r="40" spans="2:8" x14ac:dyDescent="0.25">
      <c r="B40" s="1">
        <v>64</v>
      </c>
      <c r="C40" s="24">
        <v>3.3869330701102658E-2</v>
      </c>
    </row>
    <row r="41" spans="2:8" x14ac:dyDescent="0.25">
      <c r="B41" s="1">
        <v>65</v>
      </c>
      <c r="C41" s="24">
        <v>2.1428713566400553E-2</v>
      </c>
    </row>
    <row r="42" spans="2:8" x14ac:dyDescent="0.25">
      <c r="B42" s="1">
        <v>66</v>
      </c>
      <c r="C42" s="24">
        <v>7.0146435912444268E-3</v>
      </c>
    </row>
  </sheetData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40"/>
  <sheetViews>
    <sheetView topLeftCell="A10" workbookViewId="0">
      <selection activeCell="N42" sqref="N42"/>
    </sheetView>
  </sheetViews>
  <sheetFormatPr defaultRowHeight="15" x14ac:dyDescent="0.25"/>
  <cols>
    <col min="1" max="16384" width="8.796875" style="1"/>
  </cols>
  <sheetData>
    <row r="2" spans="2:15" ht="18" x14ac:dyDescent="0.35">
      <c r="B2" s="202" t="s">
        <v>407</v>
      </c>
      <c r="C2" s="202" t="s">
        <v>410</v>
      </c>
      <c r="D2" s="202"/>
      <c r="E2" s="202" t="s">
        <v>411</v>
      </c>
      <c r="F2" s="202"/>
      <c r="G2" s="202" t="s">
        <v>412</v>
      </c>
      <c r="H2" s="202"/>
      <c r="I2" s="202" t="s">
        <v>413</v>
      </c>
      <c r="J2" s="202"/>
      <c r="K2" s="202" t="s">
        <v>414</v>
      </c>
      <c r="L2" s="202"/>
      <c r="N2" s="183">
        <f>'saadav soojus'!P21</f>
        <v>0.94625520165197718</v>
      </c>
      <c r="O2" s="183">
        <f>'saadav soojus'!P22</f>
        <v>0.89818329001970199</v>
      </c>
    </row>
    <row r="3" spans="2:15" x14ac:dyDescent="0.25">
      <c r="B3" s="202"/>
      <c r="C3" s="7" t="s">
        <v>408</v>
      </c>
      <c r="D3" s="7" t="s">
        <v>409</v>
      </c>
      <c r="E3" s="7" t="s">
        <v>408</v>
      </c>
      <c r="F3" s="7" t="s">
        <v>409</v>
      </c>
      <c r="G3" s="7" t="s">
        <v>408</v>
      </c>
      <c r="H3" s="7" t="s">
        <v>409</v>
      </c>
      <c r="I3" s="7" t="s">
        <v>408</v>
      </c>
      <c r="J3" s="7" t="s">
        <v>409</v>
      </c>
      <c r="K3" s="7" t="s">
        <v>408</v>
      </c>
      <c r="L3" s="7" t="s">
        <v>409</v>
      </c>
    </row>
    <row r="4" spans="2:15" x14ac:dyDescent="0.25">
      <c r="B4" s="170">
        <v>30</v>
      </c>
      <c r="C4" s="173">
        <v>0.7016502559259602</v>
      </c>
      <c r="D4" s="173">
        <v>0.64359791530472443</v>
      </c>
      <c r="E4" s="181">
        <v>0.72164810782563771</v>
      </c>
      <c r="F4" s="181">
        <v>0.73242801556237103</v>
      </c>
      <c r="G4" s="184">
        <v>0.74170562821031072</v>
      </c>
      <c r="H4" s="184">
        <v>0.84114126654474886</v>
      </c>
      <c r="I4" s="184">
        <v>0.76506628407025579</v>
      </c>
      <c r="J4" s="184">
        <v>0.97473537994153858</v>
      </c>
      <c r="K4" s="184">
        <v>0.78689902139257406</v>
      </c>
      <c r="L4" s="184">
        <v>1.146006862610861</v>
      </c>
    </row>
    <row r="5" spans="2:15" x14ac:dyDescent="0.25">
      <c r="B5" s="170">
        <v>31</v>
      </c>
      <c r="C5" s="177">
        <v>0.71156894371724766</v>
      </c>
      <c r="D5" s="177">
        <v>0.64533572396288352</v>
      </c>
      <c r="E5" s="177">
        <v>0.73110043712252559</v>
      </c>
      <c r="F5" s="177">
        <v>0.73469454483737429</v>
      </c>
      <c r="G5" s="182">
        <v>0.75124782176243421</v>
      </c>
      <c r="H5" s="182">
        <v>0.843793610409725</v>
      </c>
      <c r="I5" s="182">
        <v>0.77418376126552002</v>
      </c>
      <c r="J5" s="182">
        <v>0.97819226404922788</v>
      </c>
      <c r="K5" s="182">
        <v>0.79554301238428138</v>
      </c>
      <c r="L5" s="182">
        <v>1.1505471325746006</v>
      </c>
      <c r="N5" s="172"/>
      <c r="O5" s="172"/>
    </row>
    <row r="6" spans="2:15" x14ac:dyDescent="0.25">
      <c r="B6" s="170">
        <v>32</v>
      </c>
      <c r="C6" s="177">
        <v>0.72084976403664835</v>
      </c>
      <c r="D6" s="177">
        <v>0.64627622905981741</v>
      </c>
      <c r="E6" s="177">
        <v>0.74044896634796908</v>
      </c>
      <c r="F6" s="177">
        <v>0.73581324828022643</v>
      </c>
      <c r="G6" s="182">
        <v>0.76008091090431618</v>
      </c>
      <c r="H6" s="182">
        <v>0.84542719123823451</v>
      </c>
      <c r="I6" s="182">
        <v>0.78313402582806302</v>
      </c>
      <c r="J6" s="182">
        <v>0.98013805738342108</v>
      </c>
      <c r="K6" s="182">
        <v>0.8039779072539156</v>
      </c>
      <c r="L6" s="182">
        <v>1.1533289333944416</v>
      </c>
    </row>
    <row r="7" spans="2:15" x14ac:dyDescent="0.25">
      <c r="B7" s="170">
        <v>33</v>
      </c>
      <c r="C7" s="177">
        <v>0.73123256500036327</v>
      </c>
      <c r="D7" s="177">
        <v>0.64722518610168989</v>
      </c>
      <c r="E7" s="177">
        <v>0.75030006790250847</v>
      </c>
      <c r="F7" s="177">
        <v>0.73719408520685947</v>
      </c>
      <c r="G7" s="182">
        <v>0.76998566733839802</v>
      </c>
      <c r="H7" s="182">
        <v>0.84706602933763631</v>
      </c>
      <c r="I7" s="182">
        <v>0.79255809109321007</v>
      </c>
      <c r="J7" s="182">
        <v>0.98243135716096197</v>
      </c>
      <c r="K7" s="182">
        <v>0.81346028228105116</v>
      </c>
      <c r="L7" s="182">
        <v>1.1560991289337281</v>
      </c>
    </row>
    <row r="8" spans="2:15" x14ac:dyDescent="0.25">
      <c r="B8" s="170">
        <f>B7+1</f>
        <v>34</v>
      </c>
      <c r="C8" s="177">
        <v>0.74122058014537984</v>
      </c>
      <c r="D8" s="177">
        <v>0.64756867201127888</v>
      </c>
      <c r="E8" s="177">
        <v>0.7603224891670407</v>
      </c>
      <c r="F8" s="177">
        <v>0.73763701911967727</v>
      </c>
      <c r="G8" s="182">
        <v>0.77942958725536526</v>
      </c>
      <c r="H8" s="182">
        <v>0.84793615040726278</v>
      </c>
      <c r="I8" s="182">
        <v>0.80147770325273848</v>
      </c>
      <c r="J8" s="182">
        <v>0.98385322175586076</v>
      </c>
      <c r="K8" s="182">
        <v>0.82180826527827222</v>
      </c>
      <c r="L8" s="182">
        <v>1.1582832700023937</v>
      </c>
    </row>
    <row r="9" spans="2:15" x14ac:dyDescent="0.25">
      <c r="B9" s="170">
        <f t="shared" ref="B9:B33" si="0">B8+1</f>
        <v>35</v>
      </c>
      <c r="C9" s="177">
        <v>0.75189615636867801</v>
      </c>
      <c r="D9" s="177">
        <v>0.64809598966641291</v>
      </c>
      <c r="E9" s="177">
        <v>0.77042995560890759</v>
      </c>
      <c r="F9" s="177">
        <v>0.73853666319399536</v>
      </c>
      <c r="G9" s="182">
        <v>0.78896205202907999</v>
      </c>
      <c r="H9" s="182">
        <v>0.84931905424118737</v>
      </c>
      <c r="I9" s="182">
        <v>0.81111972064814286</v>
      </c>
      <c r="J9" s="182">
        <v>0.98549154813190498</v>
      </c>
      <c r="K9" s="182">
        <v>0.83088382984154963</v>
      </c>
      <c r="L9" s="182">
        <v>1.1606954591565835</v>
      </c>
    </row>
    <row r="10" spans="2:15" x14ac:dyDescent="0.25">
      <c r="B10" s="170">
        <f t="shared" si="0"/>
        <v>36</v>
      </c>
      <c r="C10" s="177">
        <v>0.76381894712619325</v>
      </c>
      <c r="D10" s="177">
        <v>0.64802214279537429</v>
      </c>
      <c r="E10" s="177">
        <v>0.781700803023195</v>
      </c>
      <c r="F10" s="177">
        <v>0.73877212037993645</v>
      </c>
      <c r="G10" s="182">
        <v>0.79957060487561227</v>
      </c>
      <c r="H10" s="182">
        <v>0.84996024612302079</v>
      </c>
      <c r="I10" s="182">
        <v>0.8211533814233789</v>
      </c>
      <c r="J10" s="182">
        <v>0.9866502604963413</v>
      </c>
      <c r="K10" s="182">
        <v>0.84091572519188629</v>
      </c>
      <c r="L10" s="182">
        <v>1.1621409459937888</v>
      </c>
    </row>
    <row r="11" spans="2:15" x14ac:dyDescent="0.25">
      <c r="B11" s="170">
        <f t="shared" si="0"/>
        <v>37</v>
      </c>
      <c r="C11" s="177">
        <v>0.77542887106398228</v>
      </c>
      <c r="D11" s="177">
        <v>0.64733466290307862</v>
      </c>
      <c r="E11" s="177">
        <v>0.79259653815765274</v>
      </c>
      <c r="F11" s="177">
        <v>0.73832357475841615</v>
      </c>
      <c r="G11" s="182">
        <v>0.81041339576543903</v>
      </c>
      <c r="H11" s="182">
        <v>0.84951878802888281</v>
      </c>
      <c r="I11" s="182">
        <v>0.83136691879428659</v>
      </c>
      <c r="J11" s="182">
        <v>0.98656408898136427</v>
      </c>
      <c r="K11" s="182">
        <v>0.85045316970593698</v>
      </c>
      <c r="L11" s="182">
        <v>1.1625750673983573</v>
      </c>
    </row>
    <row r="12" spans="2:15" x14ac:dyDescent="0.25">
      <c r="B12" s="170">
        <f t="shared" si="0"/>
        <v>38</v>
      </c>
      <c r="C12" s="177">
        <v>0.78772849811271506</v>
      </c>
      <c r="D12" s="177">
        <v>0.64686829271441892</v>
      </c>
      <c r="E12" s="177">
        <v>0.8048194075668097</v>
      </c>
      <c r="F12" s="177">
        <v>0.73785516395798623</v>
      </c>
      <c r="G12" s="182">
        <v>0.82187988124959022</v>
      </c>
      <c r="H12" s="182">
        <v>0.84936765425013327</v>
      </c>
      <c r="I12" s="182">
        <v>0.84216604109429882</v>
      </c>
      <c r="J12" s="182">
        <v>0.98682546176974384</v>
      </c>
      <c r="K12" s="182">
        <v>0.8605966631551728</v>
      </c>
      <c r="L12" s="182">
        <v>1.1635067241427577</v>
      </c>
    </row>
    <row r="13" spans="2:15" x14ac:dyDescent="0.25">
      <c r="B13" s="170">
        <f t="shared" si="0"/>
        <v>39</v>
      </c>
      <c r="C13" s="177">
        <v>0.80167427721912743</v>
      </c>
      <c r="D13" s="177">
        <v>0.64570084908403547</v>
      </c>
      <c r="E13" s="177">
        <v>0.81721946934398715</v>
      </c>
      <c r="F13" s="177">
        <v>0.73715249998887733</v>
      </c>
      <c r="G13" s="182">
        <v>0.83346235566950566</v>
      </c>
      <c r="H13" s="182">
        <v>0.84896023817917399</v>
      </c>
      <c r="I13" s="182">
        <v>0.85372679370821913</v>
      </c>
      <c r="J13" s="182">
        <v>0.98641694835709592</v>
      </c>
      <c r="K13" s="182">
        <v>0.87130570359121218</v>
      </c>
      <c r="L13" s="182">
        <v>1.1634761784169452</v>
      </c>
    </row>
    <row r="14" spans="2:15" x14ac:dyDescent="0.25">
      <c r="B14" s="170">
        <f t="shared" si="0"/>
        <v>40</v>
      </c>
      <c r="C14" s="177">
        <v>0.8097019819987048</v>
      </c>
      <c r="D14" s="177">
        <v>0.64028390796341306</v>
      </c>
      <c r="E14" s="177">
        <v>0.82425980450863834</v>
      </c>
      <c r="F14" s="177">
        <v>0.73128426120911871</v>
      </c>
      <c r="G14" s="182">
        <v>0.83953456128406945</v>
      </c>
      <c r="H14" s="182">
        <v>0.84254968920166362</v>
      </c>
      <c r="I14" s="182">
        <v>0.85890751384863029</v>
      </c>
      <c r="J14" s="182">
        <v>0.97933072501700202</v>
      </c>
      <c r="K14" s="182">
        <v>0.87867038262578634</v>
      </c>
      <c r="L14" s="182">
        <v>1.1596936187166109</v>
      </c>
    </row>
    <row r="15" spans="2:15" x14ac:dyDescent="0.25">
      <c r="B15" s="170">
        <f t="shared" si="0"/>
        <v>41</v>
      </c>
      <c r="C15" s="177">
        <v>0.82375636688533915</v>
      </c>
      <c r="D15" s="177">
        <v>0.63840378192925007</v>
      </c>
      <c r="E15" s="177">
        <v>0.83807869881978547</v>
      </c>
      <c r="F15" s="177">
        <v>0.7292372262036988</v>
      </c>
      <c r="G15" s="182">
        <v>0.85238767369792334</v>
      </c>
      <c r="H15" s="182">
        <v>0.84062930893915822</v>
      </c>
      <c r="I15" s="182">
        <v>0.87020710651980737</v>
      </c>
      <c r="J15" s="182">
        <v>0.97796071188625666</v>
      </c>
      <c r="K15" s="182">
        <v>0.88667399568625094</v>
      </c>
      <c r="L15" s="182">
        <v>1.1540626307316686</v>
      </c>
    </row>
    <row r="16" spans="2:15" x14ac:dyDescent="0.25">
      <c r="B16" s="170">
        <f t="shared" si="0"/>
        <v>42</v>
      </c>
      <c r="C16" s="177">
        <v>0.84365607262976638</v>
      </c>
      <c r="D16" s="177">
        <v>0.63873259041766206</v>
      </c>
      <c r="E16" s="177">
        <v>0.85598826854189813</v>
      </c>
      <c r="F16" s="177">
        <v>0.73017071591605953</v>
      </c>
      <c r="G16" s="182">
        <v>0.86913363618565631</v>
      </c>
      <c r="H16" s="182">
        <v>0.8419949454894442</v>
      </c>
      <c r="I16" s="182">
        <v>0.88592489155199294</v>
      </c>
      <c r="J16" s="182">
        <v>0.97983877831331767</v>
      </c>
      <c r="K16" s="182">
        <v>0.90131244692281165</v>
      </c>
      <c r="L16" s="182">
        <v>1.1566117842063712</v>
      </c>
    </row>
    <row r="17" spans="2:12" x14ac:dyDescent="0.25">
      <c r="B17" s="170">
        <f t="shared" si="0"/>
        <v>43</v>
      </c>
      <c r="C17" s="177">
        <v>0.86070698661321721</v>
      </c>
      <c r="D17" s="177">
        <v>0.63619945167951242</v>
      </c>
      <c r="E17" s="177">
        <v>0.87177570887362787</v>
      </c>
      <c r="F17" s="177">
        <v>0.72768311561639498</v>
      </c>
      <c r="G17" s="182">
        <v>0.88454065321572839</v>
      </c>
      <c r="H17" s="182">
        <v>0.83923835103947342</v>
      </c>
      <c r="I17" s="182">
        <v>0.9002942275219612</v>
      </c>
      <c r="J17" s="182">
        <v>0.9771225071397871</v>
      </c>
      <c r="K17" s="182">
        <v>0.9138493095050122</v>
      </c>
      <c r="L17" s="182">
        <v>1.1544724061315321</v>
      </c>
    </row>
    <row r="18" spans="2:12" x14ac:dyDescent="0.25">
      <c r="B18" s="170">
        <f t="shared" si="0"/>
        <v>44</v>
      </c>
      <c r="C18" s="177">
        <v>0.87869175367393648</v>
      </c>
      <c r="D18" s="177">
        <v>0.63276735368082437</v>
      </c>
      <c r="E18" s="177">
        <v>0.88833807967222089</v>
      </c>
      <c r="F18" s="177">
        <v>0.72419142327384023</v>
      </c>
      <c r="G18" s="182">
        <v>0.8989701186439325</v>
      </c>
      <c r="H18" s="182">
        <v>0.83603622681734235</v>
      </c>
      <c r="I18" s="182">
        <v>0.91360778963192835</v>
      </c>
      <c r="J18" s="182">
        <v>0.97391482328736778</v>
      </c>
      <c r="K18" s="182">
        <v>0.92601215152966954</v>
      </c>
      <c r="L18" s="182">
        <v>1.1513147782564634</v>
      </c>
    </row>
    <row r="19" spans="2:12" x14ac:dyDescent="0.25">
      <c r="B19" s="170">
        <f t="shared" si="0"/>
        <v>45</v>
      </c>
      <c r="C19" s="177">
        <v>0.89753274646325132</v>
      </c>
      <c r="D19" s="177">
        <v>0.62959955860635197</v>
      </c>
      <c r="E19" s="177">
        <v>0.90570964744735516</v>
      </c>
      <c r="F19" s="177">
        <v>0.72098097125775817</v>
      </c>
      <c r="G19" s="182">
        <v>0.91498310060048271</v>
      </c>
      <c r="H19" s="182">
        <v>0.83278809919575203</v>
      </c>
      <c r="I19" s="182">
        <v>0.92847874049946844</v>
      </c>
      <c r="J19" s="182">
        <v>0.97062273040490887</v>
      </c>
      <c r="K19" s="182">
        <v>0.93887727692819134</v>
      </c>
      <c r="L19" s="182">
        <v>1.148495319357473</v>
      </c>
    </row>
    <row r="20" spans="2:12" x14ac:dyDescent="0.25">
      <c r="B20" s="170">
        <f t="shared" si="0"/>
        <v>46</v>
      </c>
      <c r="C20" s="177">
        <v>0.91890236597951969</v>
      </c>
      <c r="D20" s="177">
        <v>0.62515551049602935</v>
      </c>
      <c r="E20" s="177">
        <v>0.92431072450180707</v>
      </c>
      <c r="F20" s="177">
        <v>0.71668630693534441</v>
      </c>
      <c r="G20" s="182">
        <v>0.93196077548392786</v>
      </c>
      <c r="H20" s="182">
        <v>0.82835427521107952</v>
      </c>
      <c r="I20" s="182">
        <v>0.94320299914562578</v>
      </c>
      <c r="J20" s="182">
        <v>0.96642982127423083</v>
      </c>
      <c r="K20" s="182">
        <v>0.95305841692458459</v>
      </c>
      <c r="L20" s="182">
        <v>1.143725975421499</v>
      </c>
    </row>
    <row r="21" spans="2:12" x14ac:dyDescent="0.25">
      <c r="B21" s="170">
        <f t="shared" si="0"/>
        <v>47</v>
      </c>
      <c r="C21" s="177">
        <v>0.94298078162216958</v>
      </c>
      <c r="D21" s="177">
        <v>0.62055251222468177</v>
      </c>
      <c r="E21" s="177">
        <v>0.94624374451908499</v>
      </c>
      <c r="F21" s="177">
        <v>0.71192388062571765</v>
      </c>
      <c r="G21" s="182">
        <v>0.95200595914670627</v>
      </c>
      <c r="H21" s="182">
        <v>0.82340341708492515</v>
      </c>
      <c r="I21" s="182">
        <v>0.96163157241589081</v>
      </c>
      <c r="J21" s="182">
        <v>0.96123951858764045</v>
      </c>
      <c r="K21" s="182">
        <v>0.96900767401494359</v>
      </c>
      <c r="L21" s="182">
        <v>1.1387771552647454</v>
      </c>
    </row>
    <row r="22" spans="2:12" x14ac:dyDescent="0.25">
      <c r="B22" s="170">
        <f t="shared" si="0"/>
        <v>48</v>
      </c>
      <c r="C22" s="177">
        <v>0.9695399705973432</v>
      </c>
      <c r="D22" s="177">
        <v>0.61537406064329536</v>
      </c>
      <c r="E22" s="177">
        <v>0.97031934546343124</v>
      </c>
      <c r="F22" s="177">
        <v>0.70653569601411736</v>
      </c>
      <c r="G22" s="182">
        <v>0.97289503625368046</v>
      </c>
      <c r="H22" s="182">
        <v>0.81812885620825071</v>
      </c>
      <c r="I22" s="182">
        <v>0.97975724654261998</v>
      </c>
      <c r="J22" s="182">
        <v>0.95612931029057413</v>
      </c>
      <c r="K22" s="182">
        <v>0.98538683761388579</v>
      </c>
      <c r="L22" s="182">
        <v>1.1334513218950069</v>
      </c>
    </row>
    <row r="23" spans="2:12" x14ac:dyDescent="0.25">
      <c r="B23" s="170">
        <f t="shared" si="0"/>
        <v>49</v>
      </c>
      <c r="C23" s="177">
        <v>0.9983301505114347</v>
      </c>
      <c r="D23" s="177">
        <v>0.60921278660837208</v>
      </c>
      <c r="E23" s="177">
        <v>0.99621893809870332</v>
      </c>
      <c r="F23" s="177">
        <v>0.70006192894695385</v>
      </c>
      <c r="G23" s="182">
        <v>0.9951619175537737</v>
      </c>
      <c r="H23" s="182">
        <v>0.81165877151614385</v>
      </c>
      <c r="I23" s="182">
        <v>0.99993744747233582</v>
      </c>
      <c r="J23" s="182">
        <v>0.94923920719423771</v>
      </c>
      <c r="K23" s="182">
        <v>1</v>
      </c>
      <c r="L23" s="182">
        <v>1.1236644892871885</v>
      </c>
    </row>
    <row r="24" spans="2:12" x14ac:dyDescent="0.25">
      <c r="B24" s="170">
        <f t="shared" si="0"/>
        <v>50</v>
      </c>
      <c r="C24" s="177">
        <v>1</v>
      </c>
      <c r="D24" s="177">
        <v>0.58558153579271655</v>
      </c>
      <c r="E24" s="177">
        <v>1</v>
      </c>
      <c r="F24" s="177">
        <v>0.67923374501596678</v>
      </c>
      <c r="G24" s="182">
        <v>1</v>
      </c>
      <c r="H24" s="182">
        <v>0.79100599377272662</v>
      </c>
      <c r="I24" s="182">
        <v>1</v>
      </c>
      <c r="J24" s="182">
        <v>0.9247323709629609</v>
      </c>
      <c r="K24" s="182">
        <v>1</v>
      </c>
      <c r="L24" s="182">
        <v>1.0975532057135149</v>
      </c>
    </row>
    <row r="25" spans="2:12" x14ac:dyDescent="0.25">
      <c r="B25" s="170">
        <f t="shared" si="0"/>
        <v>51</v>
      </c>
      <c r="C25" s="177">
        <v>1</v>
      </c>
      <c r="D25" s="177">
        <v>0.55795450808366887</v>
      </c>
      <c r="E25" s="177">
        <v>1</v>
      </c>
      <c r="F25" s="177">
        <v>0.65036200719058646</v>
      </c>
      <c r="G25" s="182">
        <v>1</v>
      </c>
      <c r="H25" s="182">
        <v>0.76188989236110893</v>
      </c>
      <c r="I25" s="182">
        <v>1</v>
      </c>
      <c r="J25" s="182">
        <v>0.89531777272122304</v>
      </c>
      <c r="K25" s="182">
        <v>1</v>
      </c>
      <c r="L25" s="182">
        <v>1.0677596748451055</v>
      </c>
    </row>
    <row r="26" spans="2:12" x14ac:dyDescent="0.25">
      <c r="B26" s="170">
        <f t="shared" si="0"/>
        <v>52</v>
      </c>
      <c r="C26" s="177">
        <v>1</v>
      </c>
      <c r="D26" s="177">
        <v>0.52920116570405318</v>
      </c>
      <c r="E26" s="182">
        <v>1</v>
      </c>
      <c r="F26" s="182">
        <v>0.62140566900522631</v>
      </c>
      <c r="G26" s="182">
        <v>1</v>
      </c>
      <c r="H26" s="182">
        <v>0.73268855573804603</v>
      </c>
      <c r="I26" s="182">
        <v>1</v>
      </c>
      <c r="J26" s="182">
        <v>0.86440958135898738</v>
      </c>
      <c r="K26" s="182">
        <v>1</v>
      </c>
      <c r="L26" s="182">
        <v>1.0362879493997434</v>
      </c>
    </row>
    <row r="27" spans="2:12" x14ac:dyDescent="0.25">
      <c r="B27" s="170">
        <f t="shared" si="0"/>
        <v>53</v>
      </c>
      <c r="C27" s="177">
        <v>1</v>
      </c>
      <c r="D27" s="177">
        <v>0.50036374897672931</v>
      </c>
      <c r="E27" s="182">
        <v>1</v>
      </c>
      <c r="F27" s="182">
        <v>0.59236473045988625</v>
      </c>
      <c r="G27" s="182">
        <v>1</v>
      </c>
      <c r="H27" s="182">
        <v>0.70340198390353847</v>
      </c>
      <c r="I27" s="182">
        <v>1</v>
      </c>
      <c r="J27" s="182">
        <v>0.8334108462275821</v>
      </c>
      <c r="K27" s="182">
        <v>1</v>
      </c>
      <c r="L27" s="182">
        <v>1.0047241043941815</v>
      </c>
    </row>
    <row r="28" spans="2:12" x14ac:dyDescent="0.25">
      <c r="B28" s="170">
        <f>B27+1</f>
        <v>54</v>
      </c>
      <c r="C28" s="177">
        <v>1</v>
      </c>
      <c r="D28" s="177">
        <v>0.46829535908966868</v>
      </c>
      <c r="E28" s="182">
        <v>1</v>
      </c>
      <c r="F28" s="182">
        <v>0.55864993441517519</v>
      </c>
      <c r="G28" s="182">
        <v>1</v>
      </c>
      <c r="H28" s="182">
        <v>0.6689661294192556</v>
      </c>
      <c r="I28" s="182">
        <v>1</v>
      </c>
      <c r="J28" s="182">
        <v>0.79949735987051718</v>
      </c>
      <c r="K28" s="182">
        <v>1</v>
      </c>
      <c r="L28" s="182">
        <v>0.96987551878153644</v>
      </c>
    </row>
    <row r="29" spans="2:12" x14ac:dyDescent="0.25">
      <c r="B29" s="170">
        <f t="shared" si="0"/>
        <v>55</v>
      </c>
      <c r="C29" s="177">
        <v>1</v>
      </c>
      <c r="D29" s="177">
        <v>0.43745275566299541</v>
      </c>
      <c r="E29" s="182">
        <v>1</v>
      </c>
      <c r="F29" s="182">
        <v>0.52839054711735001</v>
      </c>
      <c r="G29" s="182">
        <v>1</v>
      </c>
      <c r="H29" s="182">
        <v>0.63814462185156096</v>
      </c>
      <c r="I29" s="182">
        <v>1</v>
      </c>
      <c r="J29" s="182">
        <v>0.76798399991391064</v>
      </c>
      <c r="K29" s="182">
        <v>1</v>
      </c>
      <c r="L29" s="182">
        <v>0.93748980424094319</v>
      </c>
    </row>
    <row r="30" spans="2:12" x14ac:dyDescent="0.25">
      <c r="B30" s="170">
        <f t="shared" si="0"/>
        <v>56</v>
      </c>
      <c r="C30" s="177">
        <v>1</v>
      </c>
      <c r="D30" s="177">
        <v>0.40008121598192276</v>
      </c>
      <c r="E30" s="182">
        <v>1</v>
      </c>
      <c r="F30" s="182">
        <v>0.49002763579173092</v>
      </c>
      <c r="G30" s="182">
        <v>1</v>
      </c>
      <c r="H30" s="182">
        <v>0.59984967836951131</v>
      </c>
      <c r="I30" s="182">
        <v>1</v>
      </c>
      <c r="J30" s="182">
        <v>0.72836232895649611</v>
      </c>
      <c r="K30" s="182">
        <v>1</v>
      </c>
      <c r="L30" s="182">
        <v>0.8961952666238413</v>
      </c>
    </row>
    <row r="31" spans="2:12" x14ac:dyDescent="0.25">
      <c r="B31" s="170">
        <f t="shared" si="0"/>
        <v>57</v>
      </c>
      <c r="C31" s="177">
        <v>1</v>
      </c>
      <c r="D31" s="177">
        <v>0.36259843266393493</v>
      </c>
      <c r="E31" s="182">
        <v>1</v>
      </c>
      <c r="F31" s="182">
        <v>0.4515504251031226</v>
      </c>
      <c r="G31" s="182">
        <v>1</v>
      </c>
      <c r="H31" s="182">
        <v>0.56017431383685024</v>
      </c>
      <c r="I31" s="182">
        <v>1</v>
      </c>
      <c r="J31" s="182">
        <v>0.68862266950370665</v>
      </c>
      <c r="K31" s="182">
        <v>1</v>
      </c>
      <c r="L31" s="182">
        <v>0.85477760908417644</v>
      </c>
    </row>
    <row r="32" spans="2:12" x14ac:dyDescent="0.25">
      <c r="B32" s="170">
        <f t="shared" si="0"/>
        <v>58</v>
      </c>
      <c r="C32" s="177">
        <v>1</v>
      </c>
      <c r="D32" s="177">
        <v>0.31974911534588824</v>
      </c>
      <c r="E32" s="182">
        <v>1</v>
      </c>
      <c r="F32" s="182">
        <v>0.40836050621935455</v>
      </c>
      <c r="G32" s="182">
        <v>1</v>
      </c>
      <c r="H32" s="182">
        <v>0.51657535249062769</v>
      </c>
      <c r="I32" s="182">
        <v>1</v>
      </c>
      <c r="J32" s="182">
        <v>0.64310534282438803</v>
      </c>
      <c r="K32" s="182">
        <v>1</v>
      </c>
      <c r="L32" s="182">
        <v>0.81003784399195577</v>
      </c>
    </row>
    <row r="33" spans="2:12" x14ac:dyDescent="0.25">
      <c r="B33" s="170">
        <f t="shared" si="0"/>
        <v>59</v>
      </c>
      <c r="C33" s="177">
        <v>1</v>
      </c>
      <c r="D33" s="177">
        <v>0.27677169929442413</v>
      </c>
      <c r="E33" s="182">
        <v>1</v>
      </c>
      <c r="F33" s="182">
        <v>0.36504153966769554</v>
      </c>
      <c r="G33" s="182">
        <v>1</v>
      </c>
      <c r="H33" s="182">
        <v>0.47157562744535714</v>
      </c>
      <c r="I33" s="182">
        <v>1</v>
      </c>
      <c r="J33" s="182">
        <v>0.59745187557348256</v>
      </c>
      <c r="K33" s="182">
        <v>1</v>
      </c>
      <c r="L33" s="182">
        <v>0.76356264017024256</v>
      </c>
    </row>
    <row r="34" spans="2:12" x14ac:dyDescent="0.25">
      <c r="B34" s="170">
        <f>B33+1</f>
        <v>60</v>
      </c>
      <c r="C34" s="177">
        <v>1</v>
      </c>
      <c r="D34" s="177">
        <v>0.23704963820499295</v>
      </c>
      <c r="E34" s="182">
        <v>1</v>
      </c>
      <c r="F34" s="182">
        <v>0.3250269014698442</v>
      </c>
      <c r="G34" s="182">
        <v>1</v>
      </c>
      <c r="H34" s="182">
        <v>0.43120787390008547</v>
      </c>
      <c r="I34" s="182">
        <v>1</v>
      </c>
      <c r="J34" s="182">
        <v>0.55664951094981852</v>
      </c>
      <c r="K34" s="182">
        <v>1</v>
      </c>
      <c r="L34" s="182">
        <v>0.720610216939362</v>
      </c>
    </row>
    <row r="35" spans="2:12" x14ac:dyDescent="0.25">
      <c r="B35" s="170">
        <v>61</v>
      </c>
      <c r="C35" s="177">
        <v>1</v>
      </c>
      <c r="D35" s="177">
        <v>0.18874398093880862</v>
      </c>
      <c r="E35" s="182">
        <v>1</v>
      </c>
      <c r="F35" s="182">
        <v>0.27588634946917895</v>
      </c>
      <c r="G35" s="182">
        <v>1</v>
      </c>
      <c r="H35" s="182">
        <v>0.38105967592937895</v>
      </c>
      <c r="I35" s="182">
        <v>1</v>
      </c>
      <c r="J35" s="182">
        <v>0.50526111171095223</v>
      </c>
      <c r="K35" s="182">
        <v>1</v>
      </c>
      <c r="L35" s="182">
        <v>0.66765805167368897</v>
      </c>
    </row>
    <row r="36" spans="2:12" x14ac:dyDescent="0.25">
      <c r="B36" s="170">
        <v>62</v>
      </c>
      <c r="C36" s="177">
        <v>1</v>
      </c>
      <c r="D36" s="177">
        <v>0.13608180015457158</v>
      </c>
      <c r="E36" s="182">
        <v>1</v>
      </c>
      <c r="F36" s="182">
        <v>0.22199188025673397</v>
      </c>
      <c r="G36" s="182">
        <v>1</v>
      </c>
      <c r="H36" s="182">
        <v>0.3269486912028246</v>
      </c>
      <c r="I36" s="182">
        <v>1</v>
      </c>
      <c r="J36" s="182">
        <v>0.44946625264935375</v>
      </c>
      <c r="K36" s="182">
        <v>1</v>
      </c>
      <c r="L36" s="182">
        <v>0.61134228587439832</v>
      </c>
    </row>
    <row r="37" spans="2:12" x14ac:dyDescent="0.25">
      <c r="B37" s="170">
        <v>63</v>
      </c>
      <c r="C37" s="177">
        <v>1</v>
      </c>
      <c r="D37" s="177">
        <v>8.3261181463212985E-2</v>
      </c>
      <c r="E37" s="182">
        <v>1</v>
      </c>
      <c r="F37" s="182">
        <v>0.1690886317691721</v>
      </c>
      <c r="G37" s="182">
        <v>1</v>
      </c>
      <c r="H37" s="182">
        <v>0.27140218063812749</v>
      </c>
      <c r="I37" s="182">
        <v>1</v>
      </c>
      <c r="J37" s="182">
        <v>0.39350348688279863</v>
      </c>
      <c r="K37" s="182">
        <v>1</v>
      </c>
      <c r="L37" s="182">
        <v>0.55325237986637588</v>
      </c>
    </row>
    <row r="38" spans="2:12" x14ac:dyDescent="0.25">
      <c r="B38" s="170">
        <v>64</v>
      </c>
      <c r="C38" s="177">
        <v>1</v>
      </c>
      <c r="D38" s="177">
        <v>2.5000807658064027E-2</v>
      </c>
      <c r="E38" s="182">
        <v>1</v>
      </c>
      <c r="F38" s="182">
        <v>0.10909506530242045</v>
      </c>
      <c r="G38" s="182">
        <v>1</v>
      </c>
      <c r="H38" s="182">
        <v>0.21186440360977049</v>
      </c>
      <c r="I38" s="182">
        <v>1</v>
      </c>
      <c r="J38" s="182">
        <v>0.33168510610182966</v>
      </c>
      <c r="K38" s="182">
        <v>1</v>
      </c>
      <c r="L38" s="182">
        <v>0.49016580802727472</v>
      </c>
    </row>
    <row r="39" spans="2:12" x14ac:dyDescent="0.25">
      <c r="B39" s="170">
        <v>65</v>
      </c>
      <c r="C39" s="178"/>
      <c r="D39" s="178"/>
      <c r="E39" s="178"/>
      <c r="F39" s="178"/>
      <c r="G39" s="178"/>
      <c r="H39" s="178"/>
      <c r="I39" s="178"/>
      <c r="J39" s="178"/>
      <c r="K39" s="178"/>
      <c r="L39" s="178"/>
    </row>
    <row r="40" spans="2:12" x14ac:dyDescent="0.25">
      <c r="B40" s="171">
        <v>66</v>
      </c>
      <c r="C40" s="179"/>
      <c r="D40" s="179"/>
      <c r="E40" s="179"/>
      <c r="F40" s="179"/>
      <c r="G40" s="179"/>
      <c r="H40" s="179"/>
      <c r="I40" s="179"/>
      <c r="J40" s="179"/>
      <c r="K40" s="179"/>
      <c r="L40" s="179"/>
    </row>
  </sheetData>
  <mergeCells count="6">
    <mergeCell ref="K2:L2"/>
    <mergeCell ref="B2:B3"/>
    <mergeCell ref="C2:D2"/>
    <mergeCell ref="E2:F2"/>
    <mergeCell ref="G2:H2"/>
    <mergeCell ref="I2:J2"/>
  </mergeCell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B3:R110"/>
  <sheetViews>
    <sheetView topLeftCell="A2" zoomScale="90" zoomScaleNormal="90" workbookViewId="0">
      <selection activeCell="G38" sqref="G38"/>
    </sheetView>
  </sheetViews>
  <sheetFormatPr defaultRowHeight="15" x14ac:dyDescent="0.25"/>
  <cols>
    <col min="1" max="1" width="8.796875" style="1"/>
    <col min="2" max="2" width="35.69921875" style="1" customWidth="1"/>
    <col min="3" max="3" width="16.3984375" style="1" customWidth="1"/>
    <col min="4" max="5" width="7.69921875" style="1" customWidth="1"/>
    <col min="6" max="6" width="37" style="1" customWidth="1"/>
    <col min="7" max="7" width="8.69921875" style="1" customWidth="1"/>
    <col min="8" max="8" width="7.69921875" style="1" customWidth="1"/>
    <col min="9" max="9" width="10" style="1" customWidth="1"/>
    <col min="10" max="10" width="8.09765625" style="1" customWidth="1"/>
    <col min="11" max="11" width="5.19921875" style="1" customWidth="1"/>
    <col min="12" max="12" width="7.09765625" style="1" customWidth="1"/>
    <col min="13" max="13" width="9.296875" style="1" bestFit="1" customWidth="1"/>
    <col min="14" max="16384" width="8.796875" style="1"/>
  </cols>
  <sheetData>
    <row r="3" spans="2:18" x14ac:dyDescent="0.25">
      <c r="J3" s="27"/>
    </row>
    <row r="4" spans="2:18" ht="17.25" x14ac:dyDescent="0.25">
      <c r="B4" s="4" t="s">
        <v>218</v>
      </c>
      <c r="C4" s="106">
        <f>PI()*(C6/1000)*C5*NIISKUS_X*C8</f>
        <v>60.750604279762577</v>
      </c>
      <c r="D4" s="4" t="s">
        <v>224</v>
      </c>
      <c r="E4" s="27"/>
      <c r="F4" s="117" t="s">
        <v>305</v>
      </c>
      <c r="G4" s="118">
        <f>SUM(G5:G7)</f>
        <v>0.31916760668477279</v>
      </c>
      <c r="H4" s="4" t="s">
        <v>308</v>
      </c>
      <c r="I4" s="27"/>
    </row>
    <row r="5" spans="2:18" ht="18.75" x14ac:dyDescent="0.35">
      <c r="B5" s="100" t="s">
        <v>219</v>
      </c>
      <c r="C5" s="100">
        <v>5.5</v>
      </c>
      <c r="D5" s="27" t="s">
        <v>222</v>
      </c>
      <c r="E5" s="27"/>
      <c r="F5" s="27" t="s">
        <v>306</v>
      </c>
      <c r="G5" s="43">
        <f>IF(G17&gt;C18,1/(C18)*(C7/1000),1/(C18)*(C6/1000))</f>
        <v>1.6030595389095122E-2</v>
      </c>
      <c r="H5" s="27" t="s">
        <v>308</v>
      </c>
      <c r="I5" s="27"/>
      <c r="J5" s="27"/>
    </row>
    <row r="6" spans="2:18" ht="18.75" x14ac:dyDescent="0.35">
      <c r="B6" s="27" t="s">
        <v>220</v>
      </c>
      <c r="C6" s="101">
        <v>18.3</v>
      </c>
      <c r="D6" s="27" t="s">
        <v>223</v>
      </c>
      <c r="E6" s="27"/>
      <c r="F6" s="27" t="s">
        <v>307</v>
      </c>
      <c r="G6" s="43">
        <f>IF(G17&gt;C18,1/G17/(C7/1000)*(C7/1000),1/G17/(C7/1000)*(C6/1000))</f>
        <v>0.30163363835245149</v>
      </c>
      <c r="H6" s="27" t="s">
        <v>308</v>
      </c>
      <c r="I6" s="27"/>
      <c r="J6" s="26"/>
      <c r="K6" s="4" t="s">
        <v>46</v>
      </c>
      <c r="L6" s="4" t="s">
        <v>250</v>
      </c>
      <c r="R6" s="27"/>
    </row>
    <row r="7" spans="2:18" ht="18.75" x14ac:dyDescent="0.35">
      <c r="B7" s="27" t="s">
        <v>221</v>
      </c>
      <c r="C7" s="101">
        <v>17.8</v>
      </c>
      <c r="D7" s="27" t="s">
        <v>223</v>
      </c>
      <c r="E7" s="27"/>
      <c r="F7" s="27" t="s">
        <v>228</v>
      </c>
      <c r="G7" s="43">
        <f>IFERROR(IF(G17&gt;C18,(1/2/C10*(LN(C6/C7)))*(C7/1000),(1/2/C10*(LN(C6/C7)))*(C6/1000)),"")</f>
        <v>1.5033729432261476E-3</v>
      </c>
      <c r="H7" s="27" t="s">
        <v>308</v>
      </c>
      <c r="I7" s="27" t="str">
        <f>IF(C7&gt;C6,"sisemine diameeter peab olema väiksem kui väliine!","")</f>
        <v/>
      </c>
      <c r="J7" s="49" t="s">
        <v>248</v>
      </c>
      <c r="K7" s="2">
        <v>0.26</v>
      </c>
      <c r="L7" s="2">
        <v>0.65</v>
      </c>
    </row>
    <row r="8" spans="2:18" ht="18" x14ac:dyDescent="0.35">
      <c r="B8" s="27" t="s">
        <v>258</v>
      </c>
      <c r="C8" s="88">
        <f>76*13</f>
        <v>988</v>
      </c>
      <c r="D8" s="27"/>
      <c r="E8" s="27"/>
      <c r="F8" s="27"/>
      <c r="G8" s="27"/>
      <c r="H8" s="27"/>
      <c r="I8" s="27"/>
      <c r="J8" s="49" t="s">
        <v>249</v>
      </c>
      <c r="K8" s="2">
        <v>0.41</v>
      </c>
      <c r="L8" s="47">
        <v>0.6</v>
      </c>
    </row>
    <row r="9" spans="2:18" ht="17.25" x14ac:dyDescent="0.25">
      <c r="B9" s="27" t="s">
        <v>225</v>
      </c>
      <c r="C9" s="105" t="s">
        <v>84</v>
      </c>
      <c r="D9" s="27"/>
      <c r="E9" s="27"/>
      <c r="F9" s="4" t="s">
        <v>309</v>
      </c>
      <c r="G9" s="164">
        <f>C13/G4</f>
        <v>133.06286753875415</v>
      </c>
      <c r="H9" s="4" t="s">
        <v>310</v>
      </c>
      <c r="I9" s="27"/>
      <c r="J9" s="43"/>
    </row>
    <row r="10" spans="2:18" ht="18" x14ac:dyDescent="0.35">
      <c r="B10" s="27" t="s">
        <v>226</v>
      </c>
      <c r="C10" s="27">
        <f>IFERROR(VLOOKUP(C9,soojusjuhtivus!J7:K38,2,0)/1000,"")</f>
        <v>0.16400000000000001</v>
      </c>
      <c r="D10" s="27" t="s">
        <v>227</v>
      </c>
      <c r="E10" s="27"/>
      <c r="F10" s="117" t="s">
        <v>311</v>
      </c>
      <c r="G10" s="97">
        <f>G9*C4/1000</f>
        <v>8.0836496101773179</v>
      </c>
      <c r="H10" s="92" t="s">
        <v>57</v>
      </c>
      <c r="I10" s="27"/>
      <c r="J10" s="27"/>
    </row>
    <row r="11" spans="2:18" ht="18" x14ac:dyDescent="0.35">
      <c r="E11" s="27"/>
      <c r="F11" s="27"/>
      <c r="G11" s="90"/>
      <c r="H11" s="27"/>
      <c r="I11" s="27"/>
      <c r="J11" s="4" t="s">
        <v>135</v>
      </c>
      <c r="K11" s="111" t="s">
        <v>137</v>
      </c>
      <c r="L11" s="111" t="s">
        <v>136</v>
      </c>
    </row>
    <row r="12" spans="2:18" x14ac:dyDescent="0.25">
      <c r="B12" s="27"/>
      <c r="C12" s="27"/>
      <c r="D12" s="27"/>
      <c r="E12" s="27"/>
      <c r="F12" s="105"/>
      <c r="G12" s="27"/>
      <c r="H12" s="27"/>
      <c r="I12" s="27"/>
      <c r="J12" s="1">
        <v>2</v>
      </c>
      <c r="K12" s="1">
        <v>0.77</v>
      </c>
      <c r="L12" s="1">
        <v>0.88</v>
      </c>
    </row>
    <row r="13" spans="2:18" x14ac:dyDescent="0.25">
      <c r="B13" s="4" t="s">
        <v>230</v>
      </c>
      <c r="C13" s="106">
        <f>(C14-C15)/(LN(C14/C15))</f>
        <v>42.469356970957101</v>
      </c>
      <c r="D13" s="4" t="s">
        <v>233</v>
      </c>
      <c r="E13" s="27"/>
      <c r="F13" s="27"/>
      <c r="G13" s="27"/>
      <c r="H13" s="27"/>
      <c r="I13" s="27"/>
      <c r="J13" s="1">
        <v>3</v>
      </c>
      <c r="K13" s="1">
        <v>0.83</v>
      </c>
      <c r="L13" s="1">
        <v>0.92</v>
      </c>
    </row>
    <row r="14" spans="2:18" x14ac:dyDescent="0.25">
      <c r="B14" s="64" t="s">
        <v>232</v>
      </c>
      <c r="C14" s="101">
        <f>sg_temp-väljund_temp</f>
        <v>116.30833333333334</v>
      </c>
      <c r="D14" s="27" t="s">
        <v>233</v>
      </c>
      <c r="E14" s="27"/>
      <c r="F14" s="27"/>
      <c r="G14" s="27"/>
      <c r="H14" s="27"/>
      <c r="I14" s="27"/>
      <c r="J14" s="1">
        <v>4</v>
      </c>
      <c r="K14" s="1">
        <v>0.87</v>
      </c>
      <c r="L14" s="1">
        <v>0.94</v>
      </c>
    </row>
    <row r="15" spans="2:18" x14ac:dyDescent="0.25">
      <c r="B15" s="64" t="s">
        <v>231</v>
      </c>
      <c r="C15" s="101">
        <f>'saadav soojus'!P16*1000/VLOOKUP(väljund_temp,vee_erisoojus,2,1)/'saadav soojus'!P11</f>
        <v>9.378661572589321</v>
      </c>
      <c r="D15" s="27" t="s">
        <v>233</v>
      </c>
      <c r="E15" s="27"/>
      <c r="F15" s="27"/>
      <c r="G15" s="27"/>
      <c r="H15" s="27"/>
      <c r="I15" s="27"/>
      <c r="J15" s="1">
        <v>5</v>
      </c>
      <c r="K15" s="1">
        <v>0.9</v>
      </c>
      <c r="L15" s="1">
        <v>0.95499999999999996</v>
      </c>
    </row>
    <row r="16" spans="2:18" x14ac:dyDescent="0.25">
      <c r="B16" s="27"/>
      <c r="C16" s="48"/>
      <c r="D16" s="27"/>
      <c r="E16" s="27"/>
      <c r="I16" s="27"/>
      <c r="J16" s="1">
        <v>6</v>
      </c>
      <c r="K16" s="1">
        <v>0.92</v>
      </c>
      <c r="L16" s="1">
        <v>0.96499999999999997</v>
      </c>
    </row>
    <row r="17" spans="2:12" ht="18.75" x14ac:dyDescent="0.35">
      <c r="C17" s="5"/>
      <c r="F17" s="104" t="s">
        <v>285</v>
      </c>
      <c r="G17" s="118">
        <f>G18*G19/(C7/1000)</f>
        <v>3.3152801042419697</v>
      </c>
      <c r="H17" s="27" t="s">
        <v>286</v>
      </c>
      <c r="I17" s="27"/>
      <c r="J17" s="1">
        <v>7</v>
      </c>
      <c r="K17" s="1">
        <v>0.93</v>
      </c>
      <c r="L17" s="1">
        <v>0.97</v>
      </c>
    </row>
    <row r="18" spans="2:12" ht="18.75" x14ac:dyDescent="0.35">
      <c r="B18" s="104" t="s">
        <v>229</v>
      </c>
      <c r="C18" s="118">
        <f>IFERROR(1/((C6/1000)*((1/C19)+(1/C38)+(1/C46))),"")</f>
        <v>1.1103767245044762</v>
      </c>
      <c r="D18" s="27" t="s">
        <v>286</v>
      </c>
      <c r="E18" s="27"/>
      <c r="F18" s="27" t="s">
        <v>287</v>
      </c>
      <c r="G18" s="48">
        <f>VLOOKUP(väljund_temp,soojusjuhtivus,6,1)</f>
        <v>6.3608000000000002E-4</v>
      </c>
      <c r="H18" s="96" t="s">
        <v>227</v>
      </c>
      <c r="I18" s="27"/>
      <c r="J18" s="1">
        <v>8</v>
      </c>
      <c r="K18" s="1">
        <v>0.94499999999999995</v>
      </c>
      <c r="L18" s="1">
        <v>0.98</v>
      </c>
    </row>
    <row r="19" spans="2:12" ht="18.75" x14ac:dyDescent="0.35">
      <c r="B19" s="114" t="s">
        <v>264</v>
      </c>
      <c r="C19" s="97">
        <f>C20*C21/(C30/1000)</f>
        <v>2.0928048495820618E-2</v>
      </c>
      <c r="D19" s="92" t="s">
        <v>265</v>
      </c>
      <c r="E19" s="119"/>
      <c r="F19" s="27" t="s">
        <v>288</v>
      </c>
      <c r="G19" s="101">
        <f>IF(G25="turbulentne voolamine",G30,IF(G25="viskoosne voolamine",G28,G29))</f>
        <v>92.774471537396337</v>
      </c>
      <c r="H19" s="27"/>
      <c r="I19" s="48"/>
      <c r="J19" s="1">
        <v>9</v>
      </c>
      <c r="K19" s="1">
        <v>0.96</v>
      </c>
      <c r="L19" s="1">
        <v>0.98499999999999999</v>
      </c>
    </row>
    <row r="20" spans="2:12" ht="18" x14ac:dyDescent="0.35">
      <c r="B20" s="44" t="s">
        <v>240</v>
      </c>
      <c r="C20" s="122">
        <f>sg_soojusjuhtivus</f>
        <v>3.1990624790318993E-5</v>
      </c>
      <c r="D20" s="27" t="s">
        <v>235</v>
      </c>
      <c r="E20" s="27"/>
      <c r="F20" s="1" t="s">
        <v>297</v>
      </c>
      <c r="G20" s="50">
        <f>väljund_temp+((LN(C6/C7)*('saadav soojus'!P16*1000)*PI())/(soojusvahetus!C5*soojusvahetus!C8*2*soojusvahetus!C10))</f>
        <v>44.417134553984901</v>
      </c>
      <c r="H20" s="103" t="s">
        <v>268</v>
      </c>
      <c r="I20" s="27"/>
      <c r="J20" s="1">
        <v>10</v>
      </c>
      <c r="K20" s="1">
        <v>0.97</v>
      </c>
      <c r="L20" s="1">
        <v>0.99</v>
      </c>
    </row>
    <row r="21" spans="2:12" ht="18" x14ac:dyDescent="0.35">
      <c r="B21" s="44" t="s">
        <v>243</v>
      </c>
      <c r="C21" s="163">
        <f>IF(C28="koridoorne",K7*(C24^L7)*(C25^0.33)*((C26/C27)^0.25)*C33*C34*C31,K8*(C24^L8)*(C25^0.33)*((C26/C27)^0.25)*C33*C34*C31)</f>
        <v>7.6540601818817935</v>
      </c>
      <c r="D21" s="27"/>
      <c r="E21" s="27"/>
      <c r="F21" s="27" t="s">
        <v>289</v>
      </c>
      <c r="G21" s="88">
        <f>('saadav soojus'!P13/3600)*4/PI()/(soojusvahetus!C7/1000)/soojusvahetus!C8/VLOOKUP(väljund_temp,kin_visk,2,1)</f>
        <v>26000.635817717201</v>
      </c>
      <c r="H21" s="103"/>
      <c r="I21" s="48"/>
      <c r="J21" s="1">
        <v>12</v>
      </c>
      <c r="K21" s="1">
        <v>0.98</v>
      </c>
      <c r="L21" s="1">
        <v>0.995</v>
      </c>
    </row>
    <row r="22" spans="2:12" x14ac:dyDescent="0.25">
      <c r="B22" s="44" t="s">
        <v>312</v>
      </c>
      <c r="C22" s="46">
        <f>suitsugaasid!C11/(((C8/C35)-1)*(C30/1000)*C5)</f>
        <v>1.2637938891421281</v>
      </c>
      <c r="D22" s="27" t="s">
        <v>313</v>
      </c>
      <c r="E22" s="27"/>
      <c r="F22" s="27" t="s">
        <v>292</v>
      </c>
      <c r="G22" s="50">
        <f>Prandtl!G4</f>
        <v>3.9874550371022508</v>
      </c>
      <c r="H22" s="103"/>
      <c r="I22" s="48"/>
      <c r="J22" s="1">
        <v>14</v>
      </c>
      <c r="K22" s="1">
        <v>0.98499999999999999</v>
      </c>
      <c r="L22" s="1">
        <v>0.998</v>
      </c>
    </row>
    <row r="23" spans="2:12" ht="17.25" x14ac:dyDescent="0.25">
      <c r="B23" s="44" t="s">
        <v>314</v>
      </c>
      <c r="C23" s="122">
        <f>sg_kin_visk</f>
        <v>2.7131687198590582E-5</v>
      </c>
      <c r="D23" s="27" t="s">
        <v>282</v>
      </c>
      <c r="E23" s="27"/>
      <c r="F23" s="27" t="s">
        <v>291</v>
      </c>
      <c r="G23" s="88">
        <f>C47*(VLOOKUP(väljund_temp,vee_spt,3,1))*(C49-väljund_temp)*((C7/1000)^3)/VLOOKUP(väljund_temp,kin_visk,2,1)</f>
        <v>0.36822537046756471</v>
      </c>
      <c r="H23" s="27"/>
      <c r="I23" s="48"/>
      <c r="J23" s="1">
        <v>16</v>
      </c>
      <c r="K23" s="1">
        <v>0.99</v>
      </c>
      <c r="L23" s="1">
        <v>1</v>
      </c>
    </row>
    <row r="24" spans="2:12" ht="18" x14ac:dyDescent="0.35">
      <c r="B24" s="44" t="s">
        <v>244</v>
      </c>
      <c r="C24" s="120">
        <f>C22*(C30/1000)/C23</f>
        <v>544.98595663195647</v>
      </c>
      <c r="D24" s="27"/>
      <c r="E24" s="27"/>
      <c r="F24" s="67" t="s">
        <v>296</v>
      </c>
      <c r="G24" s="42">
        <f>G23*G22</f>
        <v>1.4682821082597333</v>
      </c>
      <c r="H24" s="27"/>
      <c r="I24" s="48"/>
      <c r="J24" s="1">
        <v>18</v>
      </c>
      <c r="K24" s="1">
        <v>1</v>
      </c>
      <c r="L24" s="1">
        <v>1</v>
      </c>
    </row>
    <row r="25" spans="2:12" ht="18" x14ac:dyDescent="0.35">
      <c r="B25" s="44" t="s">
        <v>245</v>
      </c>
      <c r="C25" s="45">
        <f>Prandtl!H7</f>
        <v>0.77324578637365304</v>
      </c>
      <c r="D25" s="27"/>
      <c r="E25" s="27"/>
      <c r="F25" s="27" t="s">
        <v>290</v>
      </c>
      <c r="G25" s="1" t="str">
        <f>IF(G21&lt;3000,IF(G24&lt;800000,"viskoosne voolamine","viskoosne gravitatsiooniline voolamine"),"turbulentne voolamine")</f>
        <v>turbulentne voolamine</v>
      </c>
      <c r="H25" s="27"/>
      <c r="I25" s="27"/>
      <c r="J25" s="1">
        <v>20</v>
      </c>
      <c r="K25" s="1">
        <v>1.02</v>
      </c>
      <c r="L25" s="1">
        <v>1.02</v>
      </c>
    </row>
    <row r="26" spans="2:12" ht="18" x14ac:dyDescent="0.35">
      <c r="B26" s="108" t="s">
        <v>241</v>
      </c>
      <c r="C26" s="113">
        <f>Prandtl!H5</f>
        <v>1.2599571900964315</v>
      </c>
      <c r="D26" s="27"/>
      <c r="E26" s="27"/>
      <c r="F26" s="68" t="s">
        <v>299</v>
      </c>
      <c r="G26" s="1">
        <f>VLOOKUP(G20,dün_visk,2,1)</f>
        <v>6.0678000000000001E-4</v>
      </c>
      <c r="H26" s="27"/>
      <c r="I26" s="27"/>
      <c r="J26" s="1">
        <v>22</v>
      </c>
      <c r="K26" s="1">
        <v>1.05</v>
      </c>
      <c r="L26" s="1">
        <v>1.03</v>
      </c>
    </row>
    <row r="27" spans="2:12" ht="18" x14ac:dyDescent="0.35">
      <c r="B27" s="108" t="s">
        <v>242</v>
      </c>
      <c r="C27" s="113">
        <f>Prandtl!H3</f>
        <v>0.7638970067391877</v>
      </c>
      <c r="D27" s="27"/>
      <c r="E27" s="27"/>
      <c r="F27" s="68" t="s">
        <v>300</v>
      </c>
      <c r="G27" s="1">
        <f>VLOOKUP(väljund_temp,dün_visk,2,1)</f>
        <v>6.0678000000000001E-4</v>
      </c>
      <c r="H27" s="27"/>
      <c r="I27" s="50"/>
      <c r="J27" s="1">
        <v>24</v>
      </c>
      <c r="K27" s="1">
        <v>1.1000000000000001</v>
      </c>
      <c r="L27" s="1">
        <v>1.05</v>
      </c>
    </row>
    <row r="28" spans="2:12" x14ac:dyDescent="0.25">
      <c r="B28" s="1" t="s">
        <v>247</v>
      </c>
      <c r="C28" s="1" t="s">
        <v>248</v>
      </c>
      <c r="F28" s="27" t="s">
        <v>302</v>
      </c>
      <c r="G28" s="101">
        <f>1.55*((G22*G21*(C6/1000)/C5)^0.33)*((G26/G27)^(-0.14))</f>
        <v>10.660932495876098</v>
      </c>
      <c r="H28" s="1" t="s">
        <v>301</v>
      </c>
      <c r="I28" s="27"/>
      <c r="J28" s="1">
        <v>26</v>
      </c>
      <c r="K28" s="1">
        <v>1.1499999999999999</v>
      </c>
      <c r="L28" s="1">
        <v>1.05</v>
      </c>
    </row>
    <row r="29" spans="2:12" ht="18" x14ac:dyDescent="0.35">
      <c r="B29" s="1" t="s">
        <v>254</v>
      </c>
      <c r="C29" s="1">
        <v>9.6999999999999993</v>
      </c>
      <c r="D29" s="1" t="s">
        <v>223</v>
      </c>
      <c r="F29" s="103" t="s">
        <v>303</v>
      </c>
      <c r="G29" s="180">
        <f>IFERROR(0.15*(G21^0.33)*((G23*G22)^0.1)*(((VLOOKUP(G20,prandtl,6,1))/VLOOKUP(väljund_temp,prandtl,6,1))^0.25),1)</f>
        <v>4.4639253085242583</v>
      </c>
      <c r="H29" s="1" t="s">
        <v>301</v>
      </c>
      <c r="I29" s="27"/>
      <c r="J29" s="1">
        <v>28</v>
      </c>
      <c r="K29" s="1">
        <v>1.18</v>
      </c>
      <c r="L29" s="1">
        <v>1.05</v>
      </c>
    </row>
    <row r="30" spans="2:12" ht="18" x14ac:dyDescent="0.35">
      <c r="B30" s="1" t="s">
        <v>255</v>
      </c>
      <c r="C30" s="1">
        <v>11.7</v>
      </c>
      <c r="D30" s="1" t="s">
        <v>223</v>
      </c>
      <c r="F30" s="27" t="s">
        <v>304</v>
      </c>
      <c r="G30" s="101">
        <f>G31/8*G21*G22/(1+(900/G21)+(12.7*((G22^0.67)-1)*((G31/8)^0.5)))</f>
        <v>92.774471537396337</v>
      </c>
      <c r="H30" s="27"/>
      <c r="I30" s="27"/>
      <c r="J30" s="1">
        <v>30</v>
      </c>
      <c r="K30" s="1">
        <v>1.18</v>
      </c>
      <c r="L30" s="1">
        <v>1.05</v>
      </c>
    </row>
    <row r="31" spans="2:12" ht="18" x14ac:dyDescent="0.35">
      <c r="B31" s="27" t="s">
        <v>253</v>
      </c>
      <c r="C31" s="43">
        <f>1-(0.54*((COS(RADIANS(C32))^2)))</f>
        <v>0.45999999999999996</v>
      </c>
      <c r="D31" s="27"/>
      <c r="E31" s="27"/>
      <c r="F31" s="27" t="s">
        <v>316</v>
      </c>
      <c r="G31" s="50">
        <v>1.2999999999999999E-2</v>
      </c>
      <c r="H31" s="103"/>
      <c r="I31" s="43"/>
    </row>
    <row r="32" spans="2:12" x14ac:dyDescent="0.25">
      <c r="B32" s="1" t="s">
        <v>256</v>
      </c>
      <c r="C32" s="1">
        <v>0</v>
      </c>
      <c r="D32" s="103" t="s">
        <v>257</v>
      </c>
      <c r="E32" s="103"/>
      <c r="H32" s="27"/>
      <c r="I32" s="50"/>
    </row>
    <row r="33" spans="2:10" ht="18" x14ac:dyDescent="0.35">
      <c r="B33" s="27" t="s">
        <v>246</v>
      </c>
      <c r="C33" s="50">
        <f>IF(C28="koridoorne",(C29/C30)^(-0.15),IF((C29/C30)&lt;2,(C29/C30)^(1/6),1.12))</f>
        <v>1.0285185268801447</v>
      </c>
      <c r="D33" s="27"/>
      <c r="E33" s="27"/>
      <c r="H33" s="27"/>
      <c r="I33" s="27"/>
    </row>
    <row r="34" spans="2:10" x14ac:dyDescent="0.25">
      <c r="B34" s="27" t="s">
        <v>315</v>
      </c>
      <c r="C34" s="50">
        <f>IF(C28="koridoorne",VLOOKUP(C35,J12:L30,3,1),VLOOKUP(C35,J12:L30,2,1))</f>
        <v>0.995</v>
      </c>
      <c r="D34" s="27"/>
      <c r="E34" s="27"/>
      <c r="F34" s="176"/>
      <c r="G34" s="27"/>
      <c r="H34" s="27"/>
      <c r="I34" s="27"/>
    </row>
    <row r="35" spans="2:10" x14ac:dyDescent="0.25">
      <c r="B35" s="27" t="s">
        <v>259</v>
      </c>
      <c r="C35" s="88">
        <v>13</v>
      </c>
      <c r="D35" s="27"/>
      <c r="E35" s="27"/>
      <c r="F35" s="27"/>
      <c r="G35" s="27"/>
      <c r="H35" s="27"/>
      <c r="I35" s="27"/>
      <c r="J35" s="27"/>
    </row>
    <row r="36" spans="2:10" x14ac:dyDescent="0.25">
      <c r="B36" s="27"/>
      <c r="C36" s="88"/>
      <c r="D36" s="27"/>
      <c r="E36" s="27"/>
      <c r="F36" s="27"/>
      <c r="G36" s="27"/>
      <c r="H36" s="27"/>
      <c r="I36" s="27"/>
      <c r="J36" s="27"/>
    </row>
    <row r="37" spans="2:10" x14ac:dyDescent="0.25">
      <c r="B37" s="27"/>
      <c r="C37" s="27"/>
      <c r="D37" s="27"/>
      <c r="E37" s="27"/>
      <c r="F37" s="119"/>
      <c r="G37" s="174"/>
      <c r="H37" s="174"/>
      <c r="I37" s="43"/>
      <c r="J37" s="43"/>
    </row>
    <row r="38" spans="2:10" ht="18.75" x14ac:dyDescent="0.35">
      <c r="B38" s="116" t="s">
        <v>273</v>
      </c>
      <c r="C38" s="97">
        <f>IF(C39="","",C41/((C41*C39)+(C42*C43)))</f>
        <v>0.75393913519051103</v>
      </c>
      <c r="D38" s="92" t="s">
        <v>265</v>
      </c>
      <c r="E38" s="119"/>
      <c r="G38" s="43"/>
      <c r="H38" s="43"/>
      <c r="I38" s="43"/>
      <c r="J38" s="43"/>
    </row>
    <row r="39" spans="2:10" ht="18.75" x14ac:dyDescent="0.35">
      <c r="B39" s="27" t="s">
        <v>266</v>
      </c>
      <c r="C39" s="43">
        <v>1.1120000000000001</v>
      </c>
      <c r="D39" s="96" t="s">
        <v>234</v>
      </c>
      <c r="E39" s="27"/>
      <c r="F39" s="103"/>
      <c r="G39" s="175"/>
      <c r="H39" s="175"/>
      <c r="I39" s="43"/>
      <c r="J39" s="43"/>
    </row>
    <row r="40" spans="2:10" ht="18" x14ac:dyDescent="0.35">
      <c r="B40" s="27" t="s">
        <v>267</v>
      </c>
      <c r="C40" s="115">
        <f>IF(AND(NIISKUS_X&lt;=psühromeetria!H4,NIISKUS_X&gt;psühromeetria!G4),psühromeetria!I4,IF(AND(NIISKUS_X&lt;=psühromeetria!H5,NIISKUS_X&gt;psühromeetria!G5),psühromeetria!I5,IF(AND(NIISKUS_X&lt;=psühromeetria!H6,NIISKUS_X&gt;psühromeetria!G6),psühromeetria!I6,IF(AND(NIISKUS_X&lt;=psühromeetria!H7,NIISKUS_X&gt;psühromeetria!G7),psühromeetria!I7,IF(AND(NIISKUS_X&lt;=psühromeetria!H8,NIISKUS_X&gt;psühromeetria!G8),psühromeetria!I8,IF(AND(NIISKUS_X&lt;=psühromeetria!H9,NIISKUS_X&gt;psühromeetria!G9),psühromeetria!I9,IF(AND(NIISKUS_X&lt;=psühromeetria!H10,NIISKUS_X&gt;psühromeetria!G10),psühromeetria!I10,"")))))))</f>
        <v>63.95</v>
      </c>
      <c r="D40" s="103" t="s">
        <v>268</v>
      </c>
      <c r="E40" s="103"/>
      <c r="F40" s="27"/>
      <c r="G40" s="43"/>
      <c r="H40" s="43"/>
      <c r="I40" s="43"/>
      <c r="J40" s="43"/>
    </row>
    <row r="41" spans="2:10" ht="18" x14ac:dyDescent="0.35">
      <c r="B41" s="63" t="s">
        <v>269</v>
      </c>
      <c r="C41" s="50">
        <f>sg_temp-k_temp</f>
        <v>96.358333333333334</v>
      </c>
      <c r="D41" s="27" t="s">
        <v>233</v>
      </c>
      <c r="E41" s="27"/>
      <c r="G41" s="43"/>
      <c r="H41" s="43"/>
      <c r="I41" s="43"/>
      <c r="J41" s="43"/>
    </row>
    <row r="42" spans="2:10" x14ac:dyDescent="0.25">
      <c r="B42" s="27" t="s">
        <v>270</v>
      </c>
      <c r="C42" s="27">
        <f>VLOOKUP(k_temp,vee_kondsoojus,2,1)</f>
        <v>2357.6</v>
      </c>
      <c r="D42" s="27" t="s">
        <v>202</v>
      </c>
      <c r="E42" s="27"/>
      <c r="F42" s="27"/>
      <c r="G42" s="43"/>
      <c r="H42" s="43"/>
      <c r="I42" s="43"/>
      <c r="J42" s="43"/>
    </row>
    <row r="43" spans="2:10" ht="17.25" x14ac:dyDescent="0.25">
      <c r="B43" s="27" t="s">
        <v>271</v>
      </c>
      <c r="C43" s="50">
        <f>'saadav soojus'!P19/soojusvahetus!C4</f>
        <v>8.7614727931345816E-3</v>
      </c>
      <c r="D43" s="27" t="s">
        <v>272</v>
      </c>
      <c r="E43" s="27"/>
      <c r="F43" s="27"/>
      <c r="G43" s="43"/>
      <c r="H43" s="43"/>
      <c r="I43" s="43"/>
      <c r="J43" s="43"/>
    </row>
    <row r="44" spans="2:10" x14ac:dyDescent="0.25">
      <c r="B44" s="27"/>
      <c r="C44" s="27"/>
      <c r="D44" s="27"/>
      <c r="E44" s="27"/>
      <c r="F44" s="27"/>
      <c r="G44" s="43"/>
      <c r="H44" s="43"/>
      <c r="I44" s="43"/>
      <c r="J44" s="43"/>
    </row>
    <row r="45" spans="2:10" x14ac:dyDescent="0.25">
      <c r="B45" s="27"/>
      <c r="C45" s="27"/>
      <c r="D45" s="27"/>
      <c r="E45" s="27"/>
      <c r="F45" s="119"/>
      <c r="G45" s="174"/>
      <c r="H45" s="174"/>
      <c r="I45" s="43"/>
      <c r="J45" s="43"/>
    </row>
    <row r="46" spans="2:10" ht="18.75" x14ac:dyDescent="0.35">
      <c r="B46" s="116" t="s">
        <v>274</v>
      </c>
      <c r="C46" s="97">
        <f>0.728*(((C47*C42*C48*(C50^3))/(C51*(C6/1000)*C53))^0.25)</f>
        <v>9.6409612133072518</v>
      </c>
      <c r="D46" s="92" t="s">
        <v>265</v>
      </c>
      <c r="E46" s="119"/>
      <c r="F46" s="27"/>
      <c r="G46" s="43"/>
      <c r="H46" s="43"/>
      <c r="I46" s="43"/>
      <c r="J46" s="43"/>
    </row>
    <row r="47" spans="2:10" ht="17.25" x14ac:dyDescent="0.25">
      <c r="B47" s="27" t="s">
        <v>275</v>
      </c>
      <c r="C47" s="27">
        <v>9.81</v>
      </c>
      <c r="D47" s="27" t="s">
        <v>276</v>
      </c>
      <c r="E47" s="27"/>
      <c r="F47" s="27"/>
      <c r="G47" s="43"/>
      <c r="H47" s="43"/>
      <c r="I47" s="43"/>
      <c r="J47" s="43"/>
    </row>
    <row r="48" spans="2:10" ht="17.25" x14ac:dyDescent="0.25">
      <c r="B48" s="27" t="s">
        <v>277</v>
      </c>
      <c r="C48" s="27">
        <f>VLOOKUP(C49,vee_tihedus,2,1)</f>
        <v>987</v>
      </c>
      <c r="D48" s="27" t="s">
        <v>279</v>
      </c>
      <c r="E48" s="27"/>
      <c r="F48" s="103"/>
      <c r="G48" s="103"/>
      <c r="H48" s="103"/>
      <c r="I48" s="27"/>
      <c r="J48" s="27"/>
    </row>
    <row r="49" spans="2:10" x14ac:dyDescent="0.25">
      <c r="B49" s="27" t="s">
        <v>278</v>
      </c>
      <c r="C49" s="27">
        <f>AVERAGE(väljund_temp,k_temp)</f>
        <v>53.975000000000001</v>
      </c>
      <c r="D49" s="103" t="s">
        <v>268</v>
      </c>
      <c r="E49" s="103"/>
      <c r="F49" s="27"/>
      <c r="G49" s="27"/>
      <c r="H49" s="27"/>
      <c r="I49" s="27"/>
      <c r="J49" s="27"/>
    </row>
    <row r="50" spans="2:10" ht="18" x14ac:dyDescent="0.35">
      <c r="B50" s="27" t="s">
        <v>280</v>
      </c>
      <c r="C50" s="48">
        <f>VLOOKUP(C49,soojusjuhtivus,6,1)</f>
        <v>6.4358999999999998E-4</v>
      </c>
      <c r="D50" s="27" t="s">
        <v>227</v>
      </c>
      <c r="E50" s="27"/>
      <c r="F50" s="27"/>
      <c r="G50" s="27"/>
      <c r="H50" s="27"/>
      <c r="I50" s="27"/>
      <c r="J50" s="27"/>
    </row>
    <row r="51" spans="2:10" ht="17.25" x14ac:dyDescent="0.25">
      <c r="B51" s="27" t="s">
        <v>281</v>
      </c>
      <c r="C51" s="48">
        <f>VLOOKUP(C49,kin_visk,2,1)</f>
        <v>5.5349190283400805E-7</v>
      </c>
      <c r="D51" s="27" t="s">
        <v>282</v>
      </c>
      <c r="E51" s="27"/>
      <c r="F51" s="103"/>
      <c r="G51" s="103"/>
      <c r="H51" s="103"/>
      <c r="I51" s="27"/>
      <c r="J51" s="27"/>
    </row>
    <row r="52" spans="2:10" ht="18" x14ac:dyDescent="0.35">
      <c r="B52" s="27" t="s">
        <v>283</v>
      </c>
      <c r="C52" s="5">
        <f>(LN((C54+C6)/C6)*('saadav soojus'!P16*1000)*PI()/soojusvahetus!C5/soojusvahetus!C8/2/VLOOKUP(k_temp,soojusjuhtivus,6,1))+soojusvahetus!G20</f>
        <v>44.423681790764711</v>
      </c>
      <c r="D52" s="103" t="s">
        <v>268</v>
      </c>
      <c r="E52" s="103"/>
      <c r="F52" s="27"/>
      <c r="G52" s="27"/>
      <c r="H52" s="27"/>
      <c r="I52" s="27"/>
      <c r="J52" s="27"/>
    </row>
    <row r="53" spans="2:10" ht="18" x14ac:dyDescent="0.35">
      <c r="B53" s="63" t="s">
        <v>284</v>
      </c>
      <c r="C53" s="50">
        <f>IF((k_temp-G20)&lt;0,G20-k_temp,k_temp-G20)</f>
        <v>19.532865446015101</v>
      </c>
      <c r="D53" s="27" t="s">
        <v>233</v>
      </c>
      <c r="E53" s="27"/>
      <c r="F53" s="27"/>
      <c r="G53" s="27"/>
      <c r="H53" s="27"/>
      <c r="I53" s="27"/>
      <c r="J53" s="27"/>
    </row>
    <row r="54" spans="2:10" x14ac:dyDescent="0.25">
      <c r="B54" s="27" t="s">
        <v>298</v>
      </c>
      <c r="C54" s="102">
        <f>('saadav soojus'!P19/soojusvahetus!C8)/(VLOOKUP(k_temp,vee_tihedus,2,1))/PI()/soojusvahetus!C5*1000</f>
        <v>3.1750218932411939E-5</v>
      </c>
      <c r="D54" s="27" t="s">
        <v>223</v>
      </c>
      <c r="E54" s="27"/>
      <c r="F54" s="43"/>
      <c r="G54" s="27"/>
      <c r="H54" s="27"/>
      <c r="I54" s="27"/>
      <c r="J54" s="27"/>
    </row>
    <row r="55" spans="2:10" x14ac:dyDescent="0.25">
      <c r="B55" s="27"/>
      <c r="C55" s="27"/>
      <c r="D55" s="27"/>
      <c r="E55" s="27"/>
      <c r="F55" s="27"/>
      <c r="G55" s="27"/>
      <c r="H55" s="27"/>
      <c r="I55" s="27"/>
      <c r="J55" s="27"/>
    </row>
    <row r="56" spans="2:10" x14ac:dyDescent="0.25">
      <c r="B56" s="27"/>
      <c r="C56" s="27"/>
      <c r="D56" s="27"/>
      <c r="E56" s="27"/>
      <c r="F56" s="27"/>
      <c r="G56" s="27"/>
      <c r="H56" s="27"/>
      <c r="I56" s="27"/>
      <c r="J56" s="27"/>
    </row>
    <row r="57" spans="2:10" x14ac:dyDescent="0.25">
      <c r="B57" s="27"/>
      <c r="C57" s="27"/>
      <c r="D57" s="27"/>
      <c r="E57" s="27"/>
      <c r="F57" s="27"/>
      <c r="G57" s="27"/>
      <c r="H57" s="27"/>
      <c r="I57" s="27"/>
      <c r="J57" s="27"/>
    </row>
    <row r="58" spans="2:10" x14ac:dyDescent="0.25">
      <c r="B58" s="27"/>
      <c r="C58" s="27"/>
      <c r="D58" s="27"/>
      <c r="E58" s="27"/>
      <c r="F58" s="27"/>
      <c r="G58" s="27"/>
      <c r="H58" s="27"/>
      <c r="I58" s="27"/>
      <c r="J58" s="27"/>
    </row>
    <row r="59" spans="2:10" x14ac:dyDescent="0.25">
      <c r="B59" s="27"/>
      <c r="C59" s="27"/>
      <c r="D59" s="27"/>
      <c r="E59" s="27"/>
      <c r="F59" s="27"/>
      <c r="G59" s="27"/>
      <c r="H59" s="27"/>
      <c r="I59" s="27"/>
      <c r="J59" s="27"/>
    </row>
    <row r="60" spans="2:10" x14ac:dyDescent="0.25">
      <c r="B60" s="27"/>
      <c r="C60" s="27"/>
      <c r="D60" s="27"/>
      <c r="E60" s="27"/>
      <c r="F60" s="27"/>
      <c r="G60" s="27"/>
      <c r="H60" s="27"/>
      <c r="I60" s="27"/>
      <c r="J60" s="27"/>
    </row>
    <row r="61" spans="2:10" x14ac:dyDescent="0.25">
      <c r="B61" s="27"/>
      <c r="C61" s="27"/>
      <c r="D61" s="27"/>
      <c r="E61" s="27"/>
      <c r="F61" s="27"/>
      <c r="G61" s="27"/>
      <c r="H61" s="27"/>
      <c r="I61" s="27"/>
      <c r="J61" s="27"/>
    </row>
    <row r="62" spans="2:10" x14ac:dyDescent="0.25">
      <c r="B62" s="27"/>
      <c r="C62" s="27"/>
      <c r="D62" s="27"/>
      <c r="E62" s="27"/>
      <c r="F62" s="27"/>
      <c r="G62" s="27"/>
      <c r="H62" s="27"/>
      <c r="I62" s="27"/>
      <c r="J62" s="27"/>
    </row>
    <row r="63" spans="2:10" x14ac:dyDescent="0.25">
      <c r="B63" s="27"/>
      <c r="C63" s="27"/>
      <c r="D63" s="27"/>
      <c r="E63" s="27"/>
      <c r="F63" s="27"/>
      <c r="G63" s="27"/>
      <c r="H63" s="27"/>
      <c r="I63" s="27"/>
      <c r="J63" s="27"/>
    </row>
    <row r="64" spans="2:10" x14ac:dyDescent="0.25">
      <c r="B64" s="27"/>
      <c r="C64" s="27"/>
      <c r="D64" s="27"/>
      <c r="E64" s="27"/>
      <c r="F64" s="27"/>
      <c r="G64" s="27"/>
      <c r="H64" s="27"/>
      <c r="I64" s="27"/>
      <c r="J64" s="27"/>
    </row>
    <row r="65" spans="2:10" x14ac:dyDescent="0.25">
      <c r="B65" s="27"/>
      <c r="C65" s="27"/>
      <c r="D65" s="27"/>
      <c r="E65" s="27"/>
      <c r="F65" s="27"/>
      <c r="G65" s="27"/>
      <c r="H65" s="27"/>
      <c r="I65" s="27"/>
      <c r="J65" s="27"/>
    </row>
    <row r="66" spans="2:10" x14ac:dyDescent="0.25">
      <c r="B66" s="27"/>
      <c r="C66" s="27"/>
      <c r="D66" s="27"/>
      <c r="E66" s="27"/>
      <c r="F66" s="27"/>
      <c r="G66" s="27"/>
      <c r="H66" s="27"/>
      <c r="I66" s="27"/>
      <c r="J66" s="27"/>
    </row>
    <row r="67" spans="2:10" x14ac:dyDescent="0.25">
      <c r="B67" s="27"/>
      <c r="C67" s="27"/>
      <c r="D67" s="27"/>
      <c r="E67" s="27"/>
      <c r="F67" s="27"/>
      <c r="G67" s="27"/>
      <c r="H67" s="27"/>
      <c r="I67" s="27"/>
      <c r="J67" s="27"/>
    </row>
    <row r="68" spans="2:10" x14ac:dyDescent="0.25">
      <c r="B68" s="27"/>
      <c r="C68" s="27"/>
      <c r="D68" s="27"/>
      <c r="E68" s="27"/>
      <c r="F68" s="27"/>
      <c r="G68" s="27"/>
      <c r="H68" s="27"/>
      <c r="I68" s="27"/>
      <c r="J68" s="27"/>
    </row>
    <row r="69" spans="2:10" x14ac:dyDescent="0.25">
      <c r="B69" s="27"/>
      <c r="C69" s="27"/>
      <c r="D69" s="27"/>
      <c r="E69" s="27"/>
      <c r="F69" s="27"/>
      <c r="G69" s="27"/>
      <c r="H69" s="27"/>
      <c r="I69" s="27"/>
      <c r="J69" s="27"/>
    </row>
    <row r="70" spans="2:10" x14ac:dyDescent="0.25">
      <c r="B70" s="27"/>
      <c r="C70" s="27"/>
      <c r="D70" s="27"/>
      <c r="E70" s="27"/>
      <c r="F70" s="27"/>
      <c r="G70" s="27"/>
      <c r="H70" s="27"/>
      <c r="I70" s="27"/>
      <c r="J70" s="27"/>
    </row>
    <row r="71" spans="2:10" x14ac:dyDescent="0.25">
      <c r="B71" s="27"/>
      <c r="C71" s="27"/>
      <c r="D71" s="27"/>
      <c r="E71" s="27"/>
      <c r="F71" s="27"/>
      <c r="G71" s="27"/>
      <c r="H71" s="27"/>
      <c r="I71" s="27"/>
      <c r="J71" s="27"/>
    </row>
    <row r="72" spans="2:10" x14ac:dyDescent="0.25">
      <c r="B72" s="27"/>
      <c r="C72" s="27"/>
      <c r="D72" s="27"/>
      <c r="E72" s="27"/>
      <c r="F72" s="27"/>
      <c r="G72" s="27"/>
      <c r="H72" s="27"/>
      <c r="I72" s="27"/>
      <c r="J72" s="27"/>
    </row>
    <row r="73" spans="2:10" x14ac:dyDescent="0.25">
      <c r="B73" s="27"/>
      <c r="C73" s="27"/>
      <c r="D73" s="27"/>
      <c r="E73" s="27"/>
      <c r="F73" s="27"/>
      <c r="G73" s="27"/>
      <c r="H73" s="27"/>
      <c r="I73" s="27"/>
      <c r="J73" s="27"/>
    </row>
    <row r="74" spans="2:10" x14ac:dyDescent="0.25">
      <c r="B74" s="27"/>
      <c r="C74" s="27"/>
      <c r="D74" s="27"/>
      <c r="E74" s="27"/>
      <c r="F74" s="27"/>
      <c r="G74" s="27"/>
      <c r="H74" s="27"/>
      <c r="I74" s="27"/>
      <c r="J74" s="27"/>
    </row>
    <row r="75" spans="2:10" x14ac:dyDescent="0.25">
      <c r="B75" s="27"/>
      <c r="C75" s="27"/>
      <c r="D75" s="27"/>
      <c r="E75" s="27"/>
      <c r="F75" s="27"/>
      <c r="G75" s="27"/>
      <c r="H75" s="27"/>
      <c r="I75" s="27"/>
      <c r="J75" s="27"/>
    </row>
    <row r="76" spans="2:10" x14ac:dyDescent="0.25">
      <c r="B76" s="27"/>
      <c r="C76" s="27"/>
      <c r="D76" s="27"/>
      <c r="E76" s="27"/>
      <c r="F76" s="27"/>
      <c r="G76" s="27"/>
      <c r="H76" s="27"/>
      <c r="I76" s="27"/>
      <c r="J76" s="27"/>
    </row>
    <row r="77" spans="2:10" x14ac:dyDescent="0.25">
      <c r="B77" s="27"/>
      <c r="C77" s="27"/>
      <c r="D77" s="27"/>
      <c r="E77" s="27"/>
      <c r="F77" s="27"/>
      <c r="G77" s="27"/>
      <c r="H77" s="27"/>
      <c r="I77" s="27"/>
      <c r="J77" s="27"/>
    </row>
    <row r="78" spans="2:10" x14ac:dyDescent="0.25">
      <c r="B78" s="27"/>
      <c r="C78" s="27"/>
      <c r="D78" s="27"/>
      <c r="E78" s="27"/>
      <c r="F78" s="27"/>
      <c r="G78" s="27"/>
      <c r="H78" s="27"/>
      <c r="I78" s="27"/>
      <c r="J78" s="27"/>
    </row>
    <row r="79" spans="2:10" x14ac:dyDescent="0.25">
      <c r="B79" s="27"/>
      <c r="C79" s="27"/>
      <c r="D79" s="27"/>
      <c r="E79" s="27"/>
      <c r="F79" s="27"/>
      <c r="G79" s="27"/>
      <c r="H79" s="27"/>
      <c r="I79" s="27"/>
      <c r="J79" s="27"/>
    </row>
    <row r="80" spans="2:10" x14ac:dyDescent="0.25">
      <c r="B80" s="27"/>
      <c r="C80" s="27"/>
      <c r="D80" s="27"/>
      <c r="E80" s="27"/>
      <c r="F80" s="27"/>
      <c r="G80" s="27"/>
      <c r="H80" s="27"/>
      <c r="I80" s="27"/>
      <c r="J80" s="27"/>
    </row>
    <row r="81" spans="2:10" x14ac:dyDescent="0.25">
      <c r="B81" s="27"/>
      <c r="C81" s="27"/>
      <c r="D81" s="27"/>
      <c r="E81" s="27"/>
      <c r="F81" s="27"/>
      <c r="G81" s="27"/>
      <c r="H81" s="27"/>
      <c r="I81" s="27"/>
      <c r="J81" s="27"/>
    </row>
    <row r="82" spans="2:10" x14ac:dyDescent="0.25">
      <c r="B82" s="27"/>
      <c r="C82" s="27"/>
      <c r="D82" s="27"/>
      <c r="E82" s="27"/>
      <c r="F82" s="27"/>
      <c r="G82" s="27"/>
      <c r="H82" s="27"/>
      <c r="I82" s="27"/>
      <c r="J82" s="27"/>
    </row>
    <row r="83" spans="2:10" x14ac:dyDescent="0.25">
      <c r="B83" s="27"/>
      <c r="C83" s="27"/>
      <c r="D83" s="27"/>
      <c r="E83" s="27"/>
      <c r="F83" s="27"/>
      <c r="G83" s="27"/>
      <c r="H83" s="27"/>
      <c r="I83" s="27"/>
      <c r="J83" s="27"/>
    </row>
    <row r="84" spans="2:10" x14ac:dyDescent="0.25">
      <c r="B84" s="27"/>
      <c r="C84" s="27"/>
      <c r="D84" s="27"/>
      <c r="E84" s="27"/>
      <c r="F84" s="27"/>
      <c r="G84" s="27"/>
      <c r="H84" s="27"/>
      <c r="I84" s="27"/>
      <c r="J84" s="27"/>
    </row>
    <row r="85" spans="2:10" x14ac:dyDescent="0.25">
      <c r="B85" s="27"/>
      <c r="C85" s="27"/>
      <c r="D85" s="27"/>
      <c r="E85" s="27"/>
      <c r="F85" s="27"/>
      <c r="G85" s="27"/>
      <c r="H85" s="27"/>
      <c r="I85" s="27"/>
      <c r="J85" s="27"/>
    </row>
    <row r="86" spans="2:10" x14ac:dyDescent="0.25">
      <c r="B86" s="27"/>
      <c r="C86" s="27"/>
      <c r="D86" s="27"/>
      <c r="E86" s="27"/>
      <c r="F86" s="27"/>
      <c r="G86" s="27"/>
      <c r="H86" s="27"/>
      <c r="I86" s="27"/>
      <c r="J86" s="27"/>
    </row>
    <row r="87" spans="2:10" x14ac:dyDescent="0.25">
      <c r="B87" s="27"/>
      <c r="C87" s="27"/>
      <c r="D87" s="27"/>
      <c r="E87" s="27"/>
      <c r="F87" s="27"/>
      <c r="G87" s="27"/>
      <c r="H87" s="27"/>
      <c r="I87" s="27"/>
      <c r="J87" s="27"/>
    </row>
    <row r="88" spans="2:10" x14ac:dyDescent="0.25">
      <c r="B88" s="27"/>
      <c r="C88" s="27"/>
      <c r="D88" s="27"/>
      <c r="E88" s="27"/>
      <c r="F88" s="27"/>
      <c r="G88" s="27"/>
      <c r="H88" s="27"/>
      <c r="I88" s="27"/>
      <c r="J88" s="27"/>
    </row>
    <row r="89" spans="2:10" x14ac:dyDescent="0.25">
      <c r="B89" s="27"/>
      <c r="C89" s="27"/>
      <c r="D89" s="27"/>
      <c r="E89" s="27"/>
      <c r="F89" s="27"/>
      <c r="G89" s="27"/>
      <c r="H89" s="27"/>
      <c r="I89" s="27"/>
      <c r="J89" s="27"/>
    </row>
    <row r="90" spans="2:10" x14ac:dyDescent="0.25">
      <c r="B90" s="27"/>
      <c r="C90" s="27"/>
      <c r="D90" s="27"/>
      <c r="E90" s="27"/>
      <c r="F90" s="27"/>
      <c r="G90" s="27"/>
      <c r="H90" s="27"/>
      <c r="I90" s="27"/>
      <c r="J90" s="27"/>
    </row>
    <row r="91" spans="2:10" x14ac:dyDescent="0.25">
      <c r="B91" s="27"/>
      <c r="C91" s="27"/>
      <c r="D91" s="27"/>
      <c r="E91" s="27"/>
      <c r="F91" s="27"/>
      <c r="G91" s="27"/>
      <c r="H91" s="27"/>
      <c r="I91" s="27"/>
      <c r="J91" s="27"/>
    </row>
    <row r="92" spans="2:10" x14ac:dyDescent="0.25">
      <c r="B92" s="27"/>
      <c r="C92" s="27"/>
      <c r="D92" s="27"/>
      <c r="E92" s="27"/>
      <c r="F92" s="27"/>
      <c r="G92" s="27"/>
      <c r="H92" s="27"/>
      <c r="I92" s="27"/>
      <c r="J92" s="27"/>
    </row>
    <row r="93" spans="2:10" x14ac:dyDescent="0.25">
      <c r="B93" s="27"/>
      <c r="C93" s="27"/>
      <c r="D93" s="27"/>
      <c r="E93" s="27"/>
      <c r="F93" s="27"/>
      <c r="G93" s="27"/>
      <c r="H93" s="27"/>
      <c r="I93" s="27"/>
      <c r="J93" s="27"/>
    </row>
    <row r="94" spans="2:10" x14ac:dyDescent="0.25">
      <c r="B94" s="27"/>
      <c r="C94" s="27"/>
      <c r="D94" s="27"/>
      <c r="E94" s="27"/>
      <c r="F94" s="27"/>
      <c r="G94" s="27"/>
      <c r="H94" s="27"/>
      <c r="I94" s="27"/>
      <c r="J94" s="27"/>
    </row>
    <row r="95" spans="2:10" x14ac:dyDescent="0.25">
      <c r="B95" s="27"/>
      <c r="C95" s="27"/>
      <c r="D95" s="27"/>
      <c r="E95" s="27"/>
      <c r="F95" s="27"/>
      <c r="G95" s="27"/>
      <c r="H95" s="27"/>
      <c r="I95" s="27"/>
      <c r="J95" s="27"/>
    </row>
    <row r="96" spans="2:10" x14ac:dyDescent="0.25">
      <c r="B96" s="27"/>
      <c r="C96" s="27"/>
      <c r="D96" s="27"/>
      <c r="E96" s="27"/>
      <c r="F96" s="27"/>
      <c r="G96" s="27"/>
      <c r="H96" s="27"/>
      <c r="I96" s="27"/>
      <c r="J96" s="27"/>
    </row>
    <row r="97" spans="2:10" x14ac:dyDescent="0.25">
      <c r="B97" s="27"/>
      <c r="C97" s="27"/>
      <c r="D97" s="27"/>
      <c r="E97" s="27"/>
      <c r="F97" s="27"/>
      <c r="G97" s="27"/>
      <c r="H97" s="27"/>
      <c r="I97" s="27"/>
      <c r="J97" s="27"/>
    </row>
    <row r="98" spans="2:10" x14ac:dyDescent="0.25">
      <c r="B98" s="27"/>
      <c r="C98" s="27"/>
      <c r="D98" s="27"/>
      <c r="E98" s="27"/>
      <c r="F98" s="27"/>
      <c r="G98" s="27"/>
      <c r="H98" s="27"/>
      <c r="I98" s="27"/>
      <c r="J98" s="27"/>
    </row>
    <row r="99" spans="2:10" x14ac:dyDescent="0.25">
      <c r="B99" s="27"/>
      <c r="C99" s="27"/>
      <c r="D99" s="27"/>
      <c r="E99" s="27"/>
      <c r="F99" s="27"/>
      <c r="G99" s="27"/>
      <c r="H99" s="27"/>
      <c r="I99" s="27"/>
      <c r="J99" s="27"/>
    </row>
    <row r="100" spans="2:10" x14ac:dyDescent="0.25">
      <c r="B100" s="27"/>
      <c r="C100" s="27"/>
      <c r="D100" s="27"/>
      <c r="E100" s="27"/>
      <c r="F100" s="27"/>
      <c r="G100" s="27"/>
      <c r="H100" s="27"/>
      <c r="I100" s="27"/>
      <c r="J100" s="27"/>
    </row>
    <row r="101" spans="2:10" x14ac:dyDescent="0.25">
      <c r="B101" s="27"/>
      <c r="C101" s="27"/>
      <c r="D101" s="27"/>
      <c r="E101" s="27"/>
      <c r="F101" s="27"/>
      <c r="G101" s="27"/>
      <c r="H101" s="27"/>
      <c r="I101" s="27"/>
      <c r="J101" s="27"/>
    </row>
    <row r="102" spans="2:10" x14ac:dyDescent="0.25">
      <c r="B102" s="27"/>
      <c r="C102" s="27"/>
      <c r="D102" s="27"/>
      <c r="E102" s="27"/>
      <c r="F102" s="27"/>
      <c r="G102" s="27"/>
      <c r="H102" s="27"/>
      <c r="I102" s="27"/>
      <c r="J102" s="27"/>
    </row>
    <row r="103" spans="2:10" x14ac:dyDescent="0.25">
      <c r="B103" s="27"/>
      <c r="C103" s="27"/>
      <c r="D103" s="27"/>
      <c r="E103" s="27"/>
      <c r="F103" s="27"/>
      <c r="G103" s="27"/>
      <c r="H103" s="27"/>
      <c r="I103" s="27"/>
      <c r="J103" s="27"/>
    </row>
    <row r="104" spans="2:10" x14ac:dyDescent="0.25">
      <c r="B104" s="27"/>
      <c r="C104" s="27"/>
      <c r="D104" s="27"/>
      <c r="E104" s="27"/>
      <c r="F104" s="27"/>
      <c r="G104" s="27"/>
      <c r="H104" s="27"/>
      <c r="I104" s="27"/>
      <c r="J104" s="27"/>
    </row>
    <row r="105" spans="2:10" x14ac:dyDescent="0.25">
      <c r="B105" s="27"/>
      <c r="C105" s="27"/>
      <c r="D105" s="27"/>
      <c r="E105" s="27"/>
      <c r="F105" s="27"/>
      <c r="G105" s="27"/>
      <c r="H105" s="27"/>
      <c r="I105" s="27"/>
      <c r="J105" s="27"/>
    </row>
    <row r="106" spans="2:10" x14ac:dyDescent="0.25">
      <c r="B106" s="27"/>
      <c r="C106" s="27"/>
      <c r="D106" s="27"/>
      <c r="E106" s="27"/>
      <c r="F106" s="27"/>
      <c r="G106" s="27"/>
      <c r="H106" s="27"/>
      <c r="I106" s="27"/>
      <c r="J106" s="27"/>
    </row>
    <row r="107" spans="2:10" x14ac:dyDescent="0.25">
      <c r="B107" s="27"/>
      <c r="C107" s="27"/>
      <c r="D107" s="27"/>
      <c r="E107" s="27"/>
      <c r="F107" s="27"/>
      <c r="G107" s="27"/>
      <c r="H107" s="27"/>
      <c r="I107" s="27"/>
      <c r="J107" s="27"/>
    </row>
    <row r="108" spans="2:10" x14ac:dyDescent="0.25">
      <c r="B108" s="27"/>
      <c r="C108" s="27"/>
      <c r="D108" s="27"/>
      <c r="E108" s="27"/>
      <c r="F108" s="27"/>
      <c r="G108" s="27"/>
      <c r="H108" s="27"/>
      <c r="I108" s="27"/>
      <c r="J108" s="27"/>
    </row>
    <row r="109" spans="2:10" x14ac:dyDescent="0.25">
      <c r="B109" s="27"/>
      <c r="C109" s="27"/>
      <c r="D109" s="27"/>
      <c r="E109" s="27"/>
      <c r="F109" s="27"/>
      <c r="G109" s="27"/>
      <c r="H109" s="27"/>
      <c r="I109" s="27"/>
      <c r="J109" s="27"/>
    </row>
    <row r="110" spans="2:10" x14ac:dyDescent="0.25">
      <c r="B110" s="27"/>
      <c r="C110" s="27"/>
      <c r="D110" s="27"/>
      <c r="E110" s="27"/>
      <c r="I110" s="27"/>
      <c r="J110" s="27"/>
    </row>
  </sheetData>
  <dataValidations disablePrompts="1" count="1">
    <dataValidation type="list" allowBlank="1" showInputMessage="1" showErrorMessage="1" sqref="C28">
      <formula1>$J$7:$J$8</formula1>
    </dataValidation>
  </dataValidations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>
          <x14:formula1>
            <xm:f>soojusjuhtivus!$J$7:$J$38</xm:f>
          </x14:formula1>
          <xm:sqref>C9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B2:K30"/>
  <sheetViews>
    <sheetView workbookViewId="0">
      <selection activeCell="K30" sqref="K30"/>
    </sheetView>
  </sheetViews>
  <sheetFormatPr defaultRowHeight="15" x14ac:dyDescent="0.25"/>
  <cols>
    <col min="1" max="4" width="8.796875" style="1"/>
    <col min="5" max="5" width="9.296875" style="1" bestFit="1" customWidth="1"/>
    <col min="6" max="6" width="8.796875" style="1"/>
    <col min="7" max="7" width="14.296875" style="1" customWidth="1"/>
    <col min="8" max="8" width="10.8984375" style="1" customWidth="1"/>
    <col min="9" max="9" width="11.8984375" style="1" customWidth="1"/>
    <col min="10" max="10" width="16.3984375" style="1" customWidth="1"/>
    <col min="11" max="11" width="20.09765625" style="1" customWidth="1"/>
    <col min="12" max="16384" width="8.796875" style="1"/>
  </cols>
  <sheetData>
    <row r="2" spans="2:11" x14ac:dyDescent="0.25">
      <c r="B2" s="210" t="s">
        <v>12</v>
      </c>
      <c r="C2" s="202" t="s">
        <v>13</v>
      </c>
      <c r="D2" s="202"/>
      <c r="E2" s="202"/>
      <c r="F2" s="202"/>
      <c r="G2" s="202" t="s">
        <v>14</v>
      </c>
      <c r="H2" s="202"/>
      <c r="I2" s="6" t="s">
        <v>15</v>
      </c>
      <c r="J2" s="211" t="s">
        <v>16</v>
      </c>
      <c r="K2" s="211" t="s">
        <v>61</v>
      </c>
    </row>
    <row r="3" spans="2:11" x14ac:dyDescent="0.25">
      <c r="B3" s="210"/>
      <c r="C3" s="7" t="s">
        <v>17</v>
      </c>
      <c r="D3" s="7" t="s">
        <v>18</v>
      </c>
      <c r="E3" s="7" t="s">
        <v>19</v>
      </c>
      <c r="F3" s="7" t="s">
        <v>20</v>
      </c>
      <c r="G3" s="7" t="s">
        <v>21</v>
      </c>
      <c r="H3" s="7" t="s">
        <v>22</v>
      </c>
      <c r="I3" s="7" t="s">
        <v>23</v>
      </c>
      <c r="J3" s="211"/>
      <c r="K3" s="211"/>
    </row>
    <row r="4" spans="2:11" x14ac:dyDescent="0.25">
      <c r="B4" s="8" t="s">
        <v>24</v>
      </c>
      <c r="C4" s="9">
        <v>48.72</v>
      </c>
      <c r="D4" s="9">
        <v>6.516</v>
      </c>
      <c r="E4" s="9">
        <v>0.12</v>
      </c>
      <c r="F4" s="9">
        <v>7.9000000000000001E-2</v>
      </c>
      <c r="G4" s="9">
        <v>1.56</v>
      </c>
      <c r="H4" s="9">
        <v>1.2</v>
      </c>
      <c r="I4" s="10">
        <f>100-SUM(C4:H4)+G4</f>
        <v>43.365000000000002</v>
      </c>
      <c r="J4" s="10">
        <v>18.54</v>
      </c>
      <c r="K4" s="7"/>
    </row>
    <row r="5" spans="2:11" x14ac:dyDescent="0.25">
      <c r="B5" s="8" t="s">
        <v>25</v>
      </c>
      <c r="C5" s="9">
        <v>49.48</v>
      </c>
      <c r="D5" s="9">
        <v>6.3959999999999999</v>
      </c>
      <c r="E5" s="9">
        <v>0.27700000000000002</v>
      </c>
      <c r="F5" s="9">
        <v>3.4000000000000002E-2</v>
      </c>
      <c r="G5" s="9">
        <v>1.59</v>
      </c>
      <c r="H5" s="9">
        <v>0.7</v>
      </c>
      <c r="I5" s="10">
        <f t="shared" ref="I5:I11" si="0">100-SUM(C5:H5)+G5</f>
        <v>43.113</v>
      </c>
      <c r="J5" s="10">
        <v>18.760000000000002</v>
      </c>
      <c r="K5" s="7"/>
    </row>
    <row r="6" spans="2:11" x14ac:dyDescent="0.25">
      <c r="B6" s="8" t="s">
        <v>26</v>
      </c>
      <c r="C6" s="9">
        <v>49.43</v>
      </c>
      <c r="D6" s="9">
        <v>6.5259999999999998</v>
      </c>
      <c r="E6" s="9">
        <v>0.28100000000000003</v>
      </c>
      <c r="F6" s="9">
        <v>1.4999999999999999E-2</v>
      </c>
      <c r="G6" s="9">
        <v>1.59</v>
      </c>
      <c r="H6" s="9">
        <v>0.9</v>
      </c>
      <c r="I6" s="10">
        <f t="shared" si="0"/>
        <v>42.847999999999999</v>
      </c>
      <c r="J6" s="10">
        <v>18.79</v>
      </c>
      <c r="K6" s="7"/>
    </row>
    <row r="7" spans="2:11" x14ac:dyDescent="0.25">
      <c r="B7" s="8" t="s">
        <v>27</v>
      </c>
      <c r="C7" s="9">
        <v>50.11</v>
      </c>
      <c r="D7" s="9">
        <v>6.6050000000000004</v>
      </c>
      <c r="E7" s="9">
        <v>5.6000000000000001E-2</v>
      </c>
      <c r="F7" s="9">
        <v>0</v>
      </c>
      <c r="G7" s="9">
        <v>1.17</v>
      </c>
      <c r="H7" s="9">
        <v>0.2</v>
      </c>
      <c r="I7" s="10">
        <f t="shared" si="0"/>
        <v>43.028999999999996</v>
      </c>
      <c r="J7" s="10">
        <v>19.3</v>
      </c>
      <c r="K7" s="7"/>
    </row>
    <row r="8" spans="2:11" x14ac:dyDescent="0.25">
      <c r="B8" s="8" t="s">
        <v>28</v>
      </c>
      <c r="C8" s="11">
        <v>49.7</v>
      </c>
      <c r="D8" s="9">
        <v>6.5039999999999996</v>
      </c>
      <c r="E8" s="9">
        <v>0.124</v>
      </c>
      <c r="F8" s="9">
        <v>0</v>
      </c>
      <c r="G8" s="9">
        <v>4.71</v>
      </c>
      <c r="H8" s="9">
        <v>0.37</v>
      </c>
      <c r="I8" s="10">
        <f t="shared" si="0"/>
        <v>43.302</v>
      </c>
      <c r="J8" s="10">
        <v>18.62</v>
      </c>
      <c r="K8" s="7"/>
    </row>
    <row r="9" spans="2:11" x14ac:dyDescent="0.25">
      <c r="B9" s="8" t="s">
        <v>29</v>
      </c>
      <c r="C9" s="11">
        <v>50.3</v>
      </c>
      <c r="D9" s="12">
        <v>6.39</v>
      </c>
      <c r="E9" s="9">
        <v>8.5999999999999993E-2</v>
      </c>
      <c r="F9" s="9">
        <v>0</v>
      </c>
      <c r="G9" s="9">
        <v>5.49</v>
      </c>
      <c r="H9" s="9">
        <v>0.34</v>
      </c>
      <c r="I9" s="10">
        <f t="shared" si="0"/>
        <v>42.884</v>
      </c>
      <c r="J9" s="10">
        <v>18.760000000000002</v>
      </c>
      <c r="K9" s="7"/>
    </row>
    <row r="10" spans="2:11" x14ac:dyDescent="0.25">
      <c r="B10" s="8" t="s">
        <v>30</v>
      </c>
      <c r="C10" s="9">
        <v>48.89</v>
      </c>
      <c r="D10" s="9">
        <v>6.548</v>
      </c>
      <c r="E10" s="9">
        <v>9.0999999999999998E-2</v>
      </c>
      <c r="F10" s="9">
        <v>0</v>
      </c>
      <c r="G10" s="9">
        <v>4.45</v>
      </c>
      <c r="H10" s="9">
        <v>0.47</v>
      </c>
      <c r="I10" s="10">
        <f t="shared" si="0"/>
        <v>44.000999999999998</v>
      </c>
      <c r="J10" s="10">
        <v>18.059999999999999</v>
      </c>
      <c r="K10" s="7"/>
    </row>
    <row r="11" spans="2:11" x14ac:dyDescent="0.25">
      <c r="B11" s="8" t="s">
        <v>31</v>
      </c>
      <c r="C11" s="9">
        <v>49.82</v>
      </c>
      <c r="D11" s="12">
        <v>6.53</v>
      </c>
      <c r="E11" s="9">
        <v>0.34100000000000003</v>
      </c>
      <c r="F11" s="9">
        <v>0</v>
      </c>
      <c r="G11" s="9">
        <v>4.68</v>
      </c>
      <c r="H11" s="9">
        <v>0.6</v>
      </c>
      <c r="I11" s="10">
        <f t="shared" si="0"/>
        <v>42.708999999999996</v>
      </c>
      <c r="J11" s="10">
        <v>18.57</v>
      </c>
      <c r="K11" s="7"/>
    </row>
    <row r="12" spans="2:11" x14ac:dyDescent="0.25">
      <c r="B12" s="13" t="s">
        <v>8</v>
      </c>
      <c r="C12" s="14">
        <f>AVERAGE(C4:C11)</f>
        <v>49.556249999999999</v>
      </c>
      <c r="D12" s="14">
        <f t="shared" ref="D12:H12" si="1">AVERAGE(D4:D11)</f>
        <v>6.5018750000000001</v>
      </c>
      <c r="E12" s="14">
        <f t="shared" si="1"/>
        <v>0.17200000000000001</v>
      </c>
      <c r="F12" s="14">
        <f t="shared" si="1"/>
        <v>1.6E-2</v>
      </c>
      <c r="G12" s="14">
        <f t="shared" si="1"/>
        <v>3.1549999999999998</v>
      </c>
      <c r="H12" s="14">
        <f t="shared" si="1"/>
        <v>0.59749999999999992</v>
      </c>
      <c r="I12" s="14">
        <f>AVERAGE(I4:I11)</f>
        <v>43.156374999999997</v>
      </c>
      <c r="J12" s="7">
        <v>18.57</v>
      </c>
      <c r="K12" s="7">
        <v>19.940000000000001</v>
      </c>
    </row>
    <row r="13" spans="2:11" x14ac:dyDescent="0.25">
      <c r="B13" s="7" t="s">
        <v>32</v>
      </c>
      <c r="C13" s="14">
        <v>51.685000000000002</v>
      </c>
      <c r="D13" s="15">
        <v>6.51</v>
      </c>
      <c r="E13" s="15">
        <v>0.08</v>
      </c>
      <c r="F13" s="15">
        <v>0.05</v>
      </c>
      <c r="G13" s="14">
        <v>5.7399999999999993</v>
      </c>
      <c r="H13" s="16">
        <v>0.36199999999999999</v>
      </c>
      <c r="I13" s="17">
        <f>100-SUM(C13:H13)+G13</f>
        <v>41.313000000000009</v>
      </c>
      <c r="J13" s="17">
        <v>19.045999999999999</v>
      </c>
      <c r="K13" s="7">
        <v>20.53</v>
      </c>
    </row>
    <row r="14" spans="2:11" x14ac:dyDescent="0.25">
      <c r="B14" s="7" t="s">
        <v>33</v>
      </c>
      <c r="C14" s="7">
        <v>54.58</v>
      </c>
      <c r="D14" s="7">
        <v>5.78</v>
      </c>
      <c r="E14" s="7">
        <v>3.46</v>
      </c>
      <c r="F14" s="7">
        <v>0.25</v>
      </c>
      <c r="G14" s="7">
        <v>3.6</v>
      </c>
      <c r="H14" s="7">
        <v>4.8</v>
      </c>
      <c r="I14" s="7">
        <f t="shared" ref="I14:I16" si="2">100-SUM(C14:H14)</f>
        <v>27.530000000000015</v>
      </c>
      <c r="J14" s="7">
        <v>20.72</v>
      </c>
      <c r="K14" s="7">
        <v>21.72</v>
      </c>
    </row>
    <row r="15" spans="2:11" x14ac:dyDescent="0.25">
      <c r="B15" s="7" t="s">
        <v>34</v>
      </c>
      <c r="C15" s="7">
        <v>24.64</v>
      </c>
      <c r="D15" s="7">
        <v>2.2400000000000002</v>
      </c>
      <c r="E15" s="7">
        <v>0.08</v>
      </c>
      <c r="F15" s="7">
        <v>0.71</v>
      </c>
      <c r="G15" s="7">
        <v>0.7</v>
      </c>
      <c r="H15" s="7">
        <v>52.09</v>
      </c>
      <c r="I15" s="7">
        <f t="shared" si="2"/>
        <v>19.539999999999992</v>
      </c>
      <c r="J15" s="7">
        <v>7.32</v>
      </c>
      <c r="K15" s="7">
        <v>8</v>
      </c>
    </row>
    <row r="16" spans="2:11" x14ac:dyDescent="0.25">
      <c r="B16" s="7" t="s">
        <v>35</v>
      </c>
      <c r="C16" s="7">
        <v>73.2</v>
      </c>
      <c r="D16" s="7">
        <v>4.7</v>
      </c>
      <c r="E16" s="7">
        <v>0.9</v>
      </c>
      <c r="F16" s="7">
        <v>0.9</v>
      </c>
      <c r="G16" s="7">
        <v>0.2</v>
      </c>
      <c r="H16" s="7">
        <v>11</v>
      </c>
      <c r="I16" s="7">
        <f t="shared" si="2"/>
        <v>9.0999999999999801</v>
      </c>
      <c r="J16" s="7">
        <v>28.8</v>
      </c>
      <c r="K16" s="7">
        <v>26.7</v>
      </c>
    </row>
    <row r="17" spans="2:11" x14ac:dyDescent="0.25">
      <c r="B17" s="7" t="s">
        <v>44</v>
      </c>
      <c r="C17" s="37">
        <v>73.786764705882362</v>
      </c>
      <c r="D17" s="37">
        <v>24.421568627450988</v>
      </c>
      <c r="E17" s="37">
        <v>1.7328431372549018</v>
      </c>
      <c r="F17" s="7">
        <v>0</v>
      </c>
      <c r="G17" s="7">
        <v>0</v>
      </c>
      <c r="H17" s="7">
        <v>0</v>
      </c>
      <c r="I17" s="37">
        <f>100-SUM(C17:H17)</f>
        <v>5.8823529411753839E-2</v>
      </c>
      <c r="J17" s="17">
        <v>45.952941176470581</v>
      </c>
      <c r="K17" s="17">
        <v>49.137254901960773</v>
      </c>
    </row>
    <row r="18" spans="2:11" x14ac:dyDescent="0.25">
      <c r="J18" s="5"/>
      <c r="K18" s="5"/>
    </row>
    <row r="19" spans="2:11" x14ac:dyDescent="0.25">
      <c r="B19" s="1" t="s">
        <v>36</v>
      </c>
      <c r="G19" s="35"/>
      <c r="H19" s="35"/>
      <c r="I19" s="35"/>
    </row>
    <row r="20" spans="2:11" ht="18" x14ac:dyDescent="0.25">
      <c r="B20" s="18" t="s">
        <v>37</v>
      </c>
      <c r="C20" s="7">
        <v>0.03</v>
      </c>
    </row>
    <row r="21" spans="2:11" ht="18" x14ac:dyDescent="0.25">
      <c r="B21" s="18" t="s">
        <v>38</v>
      </c>
      <c r="C21" s="7">
        <v>1.01</v>
      </c>
    </row>
    <row r="22" spans="2:11" ht="18" x14ac:dyDescent="0.25">
      <c r="B22" s="18" t="s">
        <v>39</v>
      </c>
      <c r="C22" s="17">
        <v>98</v>
      </c>
    </row>
    <row r="23" spans="2:11" ht="18" x14ac:dyDescent="0.25">
      <c r="B23" s="18" t="s">
        <v>40</v>
      </c>
      <c r="C23" s="7">
        <v>0.67</v>
      </c>
    </row>
    <row r="24" spans="2:11" ht="18" x14ac:dyDescent="0.25">
      <c r="B24" s="18" t="s">
        <v>41</v>
      </c>
      <c r="C24" s="7">
        <v>0.2</v>
      </c>
    </row>
    <row r="25" spans="2:11" ht="18" x14ac:dyDescent="0.25">
      <c r="B25" s="18" t="s">
        <v>42</v>
      </c>
      <c r="C25" s="7">
        <v>7.0000000000000007E-2</v>
      </c>
    </row>
    <row r="26" spans="2:11" ht="18" x14ac:dyDescent="0.25">
      <c r="B26" s="18" t="s">
        <v>43</v>
      </c>
      <c r="C26" s="7">
        <v>0.02</v>
      </c>
    </row>
    <row r="28" spans="2:11" x14ac:dyDescent="0.25">
      <c r="K28" s="27"/>
    </row>
    <row r="29" spans="2:11" x14ac:dyDescent="0.25">
      <c r="K29" s="27"/>
    </row>
    <row r="30" spans="2:11" x14ac:dyDescent="0.25">
      <c r="K30" s="27"/>
    </row>
  </sheetData>
  <mergeCells count="5">
    <mergeCell ref="B2:B3"/>
    <mergeCell ref="C2:F2"/>
    <mergeCell ref="G2:H2"/>
    <mergeCell ref="J2:J3"/>
    <mergeCell ref="K2:K3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B1:K57"/>
  <sheetViews>
    <sheetView workbookViewId="0">
      <selection activeCell="D19" sqref="D19"/>
    </sheetView>
  </sheetViews>
  <sheetFormatPr defaultRowHeight="15" x14ac:dyDescent="0.25"/>
  <cols>
    <col min="1" max="1" width="8.796875" style="19"/>
    <col min="2" max="2" width="13" style="19" bestFit="1" customWidth="1"/>
    <col min="3" max="4" width="20.19921875" style="19" customWidth="1"/>
    <col min="5" max="5" width="13.69921875" style="19" customWidth="1"/>
    <col min="6" max="8" width="20.8984375" style="19" customWidth="1"/>
    <col min="9" max="9" width="14.59765625" style="19" customWidth="1"/>
    <col min="10" max="10" width="21.796875" style="19" customWidth="1"/>
    <col min="11" max="11" width="19.59765625" style="19" bestFit="1" customWidth="1"/>
    <col min="12" max="12" width="8.796875" style="19"/>
    <col min="13" max="13" width="19" style="19" customWidth="1"/>
    <col min="14" max="14" width="20.3984375" style="19" customWidth="1"/>
    <col min="15" max="16384" width="8.796875" style="19"/>
  </cols>
  <sheetData>
    <row r="1" spans="2:11" x14ac:dyDescent="0.25">
      <c r="C1" s="19">
        <v>2</v>
      </c>
      <c r="D1" s="19">
        <v>3</v>
      </c>
      <c r="E1" s="19">
        <v>4</v>
      </c>
      <c r="F1" s="19">
        <v>5</v>
      </c>
      <c r="G1" s="19">
        <v>6</v>
      </c>
      <c r="H1" s="19" t="s">
        <v>239</v>
      </c>
    </row>
    <row r="2" spans="2:11" x14ac:dyDescent="0.25">
      <c r="C2" s="19">
        <f>VLOOKUP(sg_temp,soojusjuhtivus,C1,1)</f>
        <v>2.3791E-5</v>
      </c>
      <c r="D2" s="19">
        <f>VLOOKUP(sg_temp,soojusjuhtivus,D1,1)</f>
        <v>3.4202000000000002E-5</v>
      </c>
      <c r="E2" s="19">
        <f>VLOOKUP(sg_temp,soojusjuhtivus,E1,1)</f>
        <v>2.7934000000000001E-5</v>
      </c>
      <c r="F2" s="19">
        <f>VLOOKUP(sg_temp,soojusjuhtivus,F1,1)</f>
        <v>3.7359000000000006E-5</v>
      </c>
      <c r="G2" s="19">
        <f>VLOOKUP(sg_temp,soojusjuhtivus,G1,1)</f>
        <v>2.9697E-5</v>
      </c>
      <c r="H2" s="19">
        <f>SUM(C3:G3)</f>
        <v>3.1990624790318993E-5</v>
      </c>
    </row>
    <row r="3" spans="2:11" x14ac:dyDescent="0.25">
      <c r="C3" s="19">
        <f>C2*C4</f>
        <v>2.415484676556641E-7</v>
      </c>
      <c r="D3" s="19">
        <f t="shared" ref="D3:G3" si="0">D2*D4</f>
        <v>2.0353936036492006E-5</v>
      </c>
      <c r="E3" s="19">
        <f t="shared" si="0"/>
        <v>6.2372819859046233E-6</v>
      </c>
      <c r="F3" s="19">
        <f t="shared" si="0"/>
        <v>3.2314173356885495E-7</v>
      </c>
      <c r="G3" s="19">
        <f t="shared" si="0"/>
        <v>4.834716566697844E-6</v>
      </c>
    </row>
    <row r="4" spans="2:11" x14ac:dyDescent="0.25">
      <c r="B4" s="19" t="s">
        <v>238</v>
      </c>
      <c r="C4" s="69">
        <f>'saadav soojus'!C22/suitsugaasid!C10</f>
        <v>1.015293462467589E-2</v>
      </c>
      <c r="D4" s="69">
        <f>'saadav soojus'!C19/suitsugaasid!C10</f>
        <v>0.59510952682568286</v>
      </c>
      <c r="E4" s="69">
        <f>'saadav soojus'!C20/suitsugaasid!C10</f>
        <v>0.22328638884172061</v>
      </c>
      <c r="F4" s="69">
        <f>'saadav soojus'!C21/suitsugaasid!C10</f>
        <v>8.6496355247424953E-3</v>
      </c>
      <c r="G4" s="57">
        <f>'saadav soojus'!E8/suitsugaasid!C10</f>
        <v>0.16280151418317823</v>
      </c>
      <c r="H4" s="57"/>
      <c r="I4" s="70"/>
    </row>
    <row r="5" spans="2:11" x14ac:dyDescent="0.25">
      <c r="C5" s="19" t="s">
        <v>134</v>
      </c>
      <c r="D5" s="19" t="s">
        <v>110</v>
      </c>
      <c r="E5" s="19" t="s">
        <v>109</v>
      </c>
      <c r="F5" s="19" t="s">
        <v>108</v>
      </c>
      <c r="G5" s="19" t="s">
        <v>237</v>
      </c>
    </row>
    <row r="6" spans="2:11" x14ac:dyDescent="0.25">
      <c r="B6" s="19" t="s">
        <v>63</v>
      </c>
      <c r="C6" s="19" t="s">
        <v>236</v>
      </c>
      <c r="D6" s="19" t="s">
        <v>236</v>
      </c>
      <c r="E6" s="19" t="s">
        <v>236</v>
      </c>
      <c r="F6" s="19" t="s">
        <v>236</v>
      </c>
      <c r="G6" s="19" t="s">
        <v>236</v>
      </c>
      <c r="J6" s="19" t="s">
        <v>82</v>
      </c>
      <c r="K6" s="19" t="s">
        <v>83</v>
      </c>
    </row>
    <row r="7" spans="2:11" x14ac:dyDescent="0.25">
      <c r="B7" s="19">
        <v>30</v>
      </c>
      <c r="C7" s="107">
        <v>1.7868999999999998E-5</v>
      </c>
      <c r="D7" s="107">
        <v>2.6068000000000002E-5</v>
      </c>
      <c r="E7" s="107">
        <v>1.7045999999999999E-5</v>
      </c>
      <c r="F7" s="107">
        <v>2.6911E-5</v>
      </c>
      <c r="G7" s="107">
        <v>6.1550000000000005E-4</v>
      </c>
      <c r="H7" s="107"/>
      <c r="I7" s="52"/>
      <c r="J7" s="19" t="s">
        <v>84</v>
      </c>
      <c r="K7" s="19">
        <v>164</v>
      </c>
    </row>
    <row r="8" spans="2:11" x14ac:dyDescent="0.25">
      <c r="B8" s="19">
        <f>B7+1</f>
        <v>31</v>
      </c>
      <c r="C8" s="107">
        <v>1.7918E-5</v>
      </c>
      <c r="D8" s="107">
        <v>2.6135E-5</v>
      </c>
      <c r="E8" s="107">
        <v>1.7127000000000001E-5</v>
      </c>
      <c r="F8" s="107">
        <v>2.6991E-5</v>
      </c>
      <c r="G8" s="107">
        <v>6.1711000000000003E-4</v>
      </c>
      <c r="H8" s="107"/>
      <c r="I8" s="52"/>
      <c r="J8" s="19" t="s">
        <v>85</v>
      </c>
      <c r="K8" s="19">
        <v>164</v>
      </c>
    </row>
    <row r="9" spans="2:11" x14ac:dyDescent="0.25">
      <c r="B9" s="19">
        <f t="shared" ref="B9:B11" si="1">B8+1</f>
        <v>32</v>
      </c>
      <c r="C9" s="107">
        <v>1.7965999999999997E-5</v>
      </c>
      <c r="D9" s="107">
        <v>2.6200999999999999E-5</v>
      </c>
      <c r="E9" s="107">
        <v>1.7208000000000002E-5</v>
      </c>
      <c r="F9" s="107">
        <v>2.7071000000000002E-5</v>
      </c>
      <c r="G9" s="107">
        <v>6.1868999999999997E-4</v>
      </c>
      <c r="H9" s="107"/>
      <c r="I9" s="52"/>
      <c r="J9" s="19" t="s">
        <v>86</v>
      </c>
      <c r="K9" s="19">
        <v>90</v>
      </c>
    </row>
    <row r="10" spans="2:11" x14ac:dyDescent="0.25">
      <c r="B10" s="19">
        <f t="shared" si="1"/>
        <v>33</v>
      </c>
      <c r="C10" s="107">
        <v>1.8014999999999999E-5</v>
      </c>
      <c r="D10" s="107">
        <v>2.6268E-5</v>
      </c>
      <c r="E10" s="107">
        <v>1.7289E-5</v>
      </c>
      <c r="F10" s="107">
        <v>2.7151999999999997E-5</v>
      </c>
      <c r="G10" s="107">
        <v>6.2026000000000008E-4</v>
      </c>
      <c r="H10" s="107"/>
      <c r="I10" s="52"/>
      <c r="J10" s="19" t="s">
        <v>87</v>
      </c>
      <c r="K10" s="19">
        <v>399</v>
      </c>
    </row>
    <row r="11" spans="2:11" x14ac:dyDescent="0.25">
      <c r="B11" s="19">
        <f t="shared" si="1"/>
        <v>34</v>
      </c>
      <c r="C11" s="107">
        <v>1.8063999999999998E-5</v>
      </c>
      <c r="D11" s="107">
        <v>2.6333999999999999E-5</v>
      </c>
      <c r="E11" s="107">
        <v>1.7425E-5</v>
      </c>
      <c r="F11" s="107">
        <v>2.7231999999999999E-5</v>
      </c>
      <c r="G11" s="107">
        <v>6.2180000000000004E-4</v>
      </c>
      <c r="H11" s="107"/>
      <c r="I11" s="52"/>
      <c r="J11" s="19" t="s">
        <v>88</v>
      </c>
      <c r="K11" s="19">
        <v>83</v>
      </c>
    </row>
    <row r="12" spans="2:11" x14ac:dyDescent="0.25">
      <c r="B12" s="19">
        <f>B7+5</f>
        <v>35</v>
      </c>
      <c r="C12" s="107">
        <v>1.8113000000000001E-5</v>
      </c>
      <c r="D12" s="107">
        <v>2.6400000000000001E-5</v>
      </c>
      <c r="E12" s="107">
        <v>1.7451999999999998E-5</v>
      </c>
      <c r="F12" s="107">
        <v>2.7313000000000001E-5</v>
      </c>
      <c r="G12" s="107">
        <v>6.2332000000000002E-4</v>
      </c>
      <c r="H12" s="107"/>
      <c r="I12" s="52"/>
      <c r="J12" s="19" t="s">
        <v>89</v>
      </c>
      <c r="K12" s="19">
        <v>26</v>
      </c>
    </row>
    <row r="13" spans="2:11" x14ac:dyDescent="0.25">
      <c r="B13" s="19">
        <f t="shared" ref="B13:B16" si="2">B8+5</f>
        <v>36</v>
      </c>
      <c r="C13" s="107">
        <v>1.8160999999999998E-5</v>
      </c>
      <c r="D13" s="107">
        <v>2.6466E-5</v>
      </c>
      <c r="E13" s="107">
        <v>1.7533E-5</v>
      </c>
      <c r="F13" s="107">
        <v>2.7393E-5</v>
      </c>
      <c r="G13" s="107">
        <v>6.2483000000000005E-4</v>
      </c>
      <c r="H13" s="107"/>
      <c r="I13" s="52"/>
      <c r="J13" s="19" t="s">
        <v>90</v>
      </c>
      <c r="K13" s="19">
        <v>111</v>
      </c>
    </row>
    <row r="14" spans="2:11" x14ac:dyDescent="0.25">
      <c r="B14" s="19">
        <f t="shared" si="2"/>
        <v>37</v>
      </c>
      <c r="C14" s="107">
        <v>1.821E-5</v>
      </c>
      <c r="D14" s="107">
        <v>2.6531999999999999E-5</v>
      </c>
      <c r="E14" s="107">
        <v>1.7615E-5</v>
      </c>
      <c r="F14" s="107">
        <v>2.7473999999999998E-5</v>
      </c>
      <c r="G14" s="107">
        <v>6.2631000000000004E-4</v>
      </c>
      <c r="H14" s="107"/>
      <c r="I14" s="52"/>
      <c r="J14" s="19" t="s">
        <v>91</v>
      </c>
      <c r="K14" s="19">
        <v>29</v>
      </c>
    </row>
    <row r="15" spans="2:11" x14ac:dyDescent="0.25">
      <c r="B15" s="19">
        <f t="shared" si="2"/>
        <v>38</v>
      </c>
      <c r="C15" s="107">
        <v>1.8258E-5</v>
      </c>
      <c r="D15" s="107">
        <v>2.6597999999999998E-5</v>
      </c>
      <c r="E15" s="107">
        <v>1.7697E-5</v>
      </c>
      <c r="F15" s="107">
        <v>2.7554000000000001E-5</v>
      </c>
      <c r="G15" s="107">
        <v>6.2777000000000004E-4</v>
      </c>
      <c r="H15" s="107"/>
      <c r="I15" s="52"/>
      <c r="J15" s="19" t="s">
        <v>92</v>
      </c>
      <c r="K15" s="19">
        <v>80</v>
      </c>
    </row>
    <row r="16" spans="2:11" x14ac:dyDescent="0.25">
      <c r="B16" s="19">
        <f t="shared" si="2"/>
        <v>39</v>
      </c>
      <c r="C16" s="107">
        <v>1.8306999999999999E-5</v>
      </c>
      <c r="D16" s="107">
        <v>2.6664000000000001E-5</v>
      </c>
      <c r="E16" s="107">
        <v>1.7779E-5</v>
      </c>
      <c r="F16" s="107">
        <v>2.7633999999999997E-5</v>
      </c>
      <c r="G16" s="107">
        <v>6.2921000000000006E-4</v>
      </c>
      <c r="H16" s="107"/>
      <c r="I16" s="52"/>
      <c r="J16" s="19" t="s">
        <v>93</v>
      </c>
      <c r="K16" s="19">
        <v>90</v>
      </c>
    </row>
    <row r="17" spans="2:11" x14ac:dyDescent="0.25">
      <c r="B17" s="19">
        <f t="shared" ref="B17:B22" si="3">B12+5</f>
        <v>40</v>
      </c>
      <c r="C17" s="107">
        <v>1.8355E-5</v>
      </c>
      <c r="D17" s="107">
        <v>2.673E-5</v>
      </c>
      <c r="E17" s="107">
        <v>1.7860999999999997E-5</v>
      </c>
      <c r="F17" s="107">
        <v>2.7715000000000001E-5</v>
      </c>
      <c r="G17" s="107">
        <v>6.3062999999999997E-4</v>
      </c>
      <c r="I17" s="52"/>
      <c r="J17" s="19" t="s">
        <v>94</v>
      </c>
      <c r="K17" s="19">
        <v>160</v>
      </c>
    </row>
    <row r="18" spans="2:11" x14ac:dyDescent="0.25">
      <c r="B18" s="19">
        <f t="shared" si="3"/>
        <v>41</v>
      </c>
      <c r="C18" s="107">
        <v>1.8404000000000002E-5</v>
      </c>
      <c r="D18" s="107">
        <v>2.6320199999999999E-5</v>
      </c>
      <c r="E18" s="107">
        <v>1.7943000000000001E-5</v>
      </c>
      <c r="F18" s="107">
        <v>2.7794999999999997E-5</v>
      </c>
      <c r="G18" s="107">
        <v>6.3202000000000006E-4</v>
      </c>
      <c r="H18" s="107"/>
      <c r="I18" s="52"/>
      <c r="J18" s="19" t="s">
        <v>96</v>
      </c>
      <c r="K18" s="19">
        <v>54</v>
      </c>
    </row>
    <row r="19" spans="2:11" x14ac:dyDescent="0.25">
      <c r="B19" s="19">
        <f t="shared" si="3"/>
        <v>42</v>
      </c>
      <c r="C19" s="107">
        <v>1.8451999999999999E-5</v>
      </c>
      <c r="D19" s="107">
        <v>2.6862000000000001E-5</v>
      </c>
      <c r="E19" s="107">
        <v>1.8024999999999998E-5</v>
      </c>
      <c r="F19" s="107">
        <v>2.7875E-5</v>
      </c>
      <c r="G19" s="107">
        <v>6.334E-4</v>
      </c>
      <c r="H19" s="107"/>
      <c r="I19" s="52"/>
      <c r="J19" s="19" t="s">
        <v>95</v>
      </c>
      <c r="K19" s="19">
        <v>43</v>
      </c>
    </row>
    <row r="20" spans="2:11" x14ac:dyDescent="0.25">
      <c r="B20" s="19">
        <f t="shared" si="3"/>
        <v>43</v>
      </c>
      <c r="C20" s="107">
        <v>1.8499999999999999E-5</v>
      </c>
      <c r="D20" s="107">
        <v>2.6926999999999998E-5</v>
      </c>
      <c r="E20" s="107">
        <v>1.8107000000000001E-5</v>
      </c>
      <c r="F20" s="107">
        <v>2.7955999999999998E-5</v>
      </c>
      <c r="G20" s="107">
        <v>6.3475000000000001E-4</v>
      </c>
      <c r="H20" s="107"/>
      <c r="I20" s="52"/>
      <c r="J20" s="19" t="s">
        <v>97</v>
      </c>
      <c r="K20" s="19">
        <v>36</v>
      </c>
    </row>
    <row r="21" spans="2:11" x14ac:dyDescent="0.25">
      <c r="B21" s="19">
        <f t="shared" si="3"/>
        <v>44</v>
      </c>
      <c r="C21" s="107">
        <v>1.8547999999999999E-5</v>
      </c>
      <c r="D21" s="107">
        <v>2.6993000000000001E-5</v>
      </c>
      <c r="E21" s="107">
        <v>1.8189000000000002E-5</v>
      </c>
      <c r="F21" s="107">
        <v>2.8036000000000001E-5</v>
      </c>
      <c r="G21" s="107">
        <v>6.3608000000000002E-4</v>
      </c>
      <c r="H21" s="107"/>
      <c r="I21" s="52"/>
      <c r="J21" s="19" t="s">
        <v>98</v>
      </c>
      <c r="K21" s="19">
        <v>14</v>
      </c>
    </row>
    <row r="22" spans="2:11" x14ac:dyDescent="0.25">
      <c r="B22" s="19">
        <f t="shared" si="3"/>
        <v>45</v>
      </c>
      <c r="C22" s="107">
        <v>1.8596000000000003E-5</v>
      </c>
      <c r="D22" s="107">
        <v>2.7057999999999997E-5</v>
      </c>
      <c r="E22" s="107">
        <v>1.8270999999999998E-5</v>
      </c>
      <c r="F22" s="107">
        <v>2.8116E-5</v>
      </c>
      <c r="G22" s="107">
        <v>6.3739000000000005E-4</v>
      </c>
      <c r="H22" s="107"/>
      <c r="I22" s="52"/>
      <c r="J22" s="19" t="s">
        <v>99</v>
      </c>
      <c r="K22" s="19">
        <v>120</v>
      </c>
    </row>
    <row r="23" spans="2:11" x14ac:dyDescent="0.25">
      <c r="B23" s="19">
        <v>46</v>
      </c>
      <c r="C23" s="107">
        <v>1.8645000000000002E-5</v>
      </c>
      <c r="D23" s="107">
        <v>2.7124E-5</v>
      </c>
      <c r="E23" s="107">
        <v>1.8353999999999997E-5</v>
      </c>
      <c r="F23" s="107">
        <v>2.8197000000000001E-5</v>
      </c>
      <c r="G23" s="107">
        <v>6.3866999999999993E-4</v>
      </c>
      <c r="H23" s="107"/>
      <c r="I23" s="52"/>
    </row>
    <row r="24" spans="2:11" x14ac:dyDescent="0.25">
      <c r="B24" s="19">
        <v>47</v>
      </c>
      <c r="C24" s="107">
        <v>1.8693000000000002E-5</v>
      </c>
      <c r="D24" s="107">
        <v>2.7189E-5</v>
      </c>
      <c r="E24" s="107">
        <v>1.8436000000000001E-5</v>
      </c>
      <c r="F24" s="107">
        <v>2.8277E-5</v>
      </c>
      <c r="G24" s="107">
        <v>6.3993000000000003E-4</v>
      </c>
      <c r="H24" s="107"/>
      <c r="I24" s="52"/>
    </row>
    <row r="25" spans="2:11" x14ac:dyDescent="0.25">
      <c r="B25" s="19">
        <v>48</v>
      </c>
      <c r="C25" s="107">
        <v>1.8740999999999999E-5</v>
      </c>
      <c r="D25" s="107">
        <v>2.7254E-5</v>
      </c>
      <c r="E25" s="107">
        <v>1.8519E-5</v>
      </c>
      <c r="F25" s="107">
        <v>2.8357E-5</v>
      </c>
      <c r="G25" s="107">
        <v>6.4117999999999998E-4</v>
      </c>
      <c r="H25" s="107"/>
      <c r="I25" s="52"/>
    </row>
    <row r="26" spans="2:11" x14ac:dyDescent="0.25">
      <c r="B26" s="19">
        <v>49</v>
      </c>
      <c r="C26" s="107">
        <v>1.8788E-5</v>
      </c>
      <c r="D26" s="107">
        <v>2.7319000000000001E-5</v>
      </c>
      <c r="E26" s="107">
        <v>1.8601E-5</v>
      </c>
      <c r="F26" s="107">
        <v>2.8438000000000001E-5</v>
      </c>
      <c r="G26" s="107">
        <v>6.424E-4</v>
      </c>
      <c r="H26" s="107"/>
      <c r="I26" s="52"/>
    </row>
    <row r="27" spans="2:11" x14ac:dyDescent="0.25">
      <c r="B27" s="19">
        <f>B22+5</f>
        <v>50</v>
      </c>
      <c r="C27" s="107">
        <v>1.8835999999999997E-5</v>
      </c>
      <c r="D27" s="107">
        <v>2.7383999999999997E-5</v>
      </c>
      <c r="E27" s="107">
        <v>1.8683999999999999E-5</v>
      </c>
      <c r="F27" s="107">
        <v>2.8518E-5</v>
      </c>
      <c r="G27" s="107">
        <v>6.4358999999999998E-4</v>
      </c>
      <c r="H27" s="107"/>
      <c r="I27" s="52"/>
    </row>
    <row r="28" spans="2:11" x14ac:dyDescent="0.25">
      <c r="B28" s="19">
        <f t="shared" ref="B28:B57" si="4">B27+5</f>
        <v>55</v>
      </c>
      <c r="C28" s="107">
        <v>1.9075000000000003E-5</v>
      </c>
      <c r="D28" s="107">
        <v>2.7709000000000002E-5</v>
      </c>
      <c r="E28" s="107">
        <v>1.9097999999999999E-5</v>
      </c>
      <c r="F28" s="107">
        <v>2.8918999999999999E-5</v>
      </c>
      <c r="G28" s="107">
        <v>6.4925999999999992E-4</v>
      </c>
      <c r="H28" s="107"/>
      <c r="I28" s="52"/>
    </row>
    <row r="29" spans="2:11" x14ac:dyDescent="0.25">
      <c r="B29" s="19">
        <f t="shared" si="4"/>
        <v>60</v>
      </c>
      <c r="C29" s="107">
        <v>1.9312000000000001E-5</v>
      </c>
      <c r="D29" s="107">
        <v>2.8031E-5</v>
      </c>
      <c r="E29" s="107">
        <v>1.9514E-5</v>
      </c>
      <c r="F29" s="107">
        <v>2.932E-5</v>
      </c>
      <c r="G29" s="107">
        <v>6.5439000000000003E-4</v>
      </c>
      <c r="H29" s="107"/>
      <c r="I29" s="52"/>
    </row>
    <row r="30" spans="2:11" x14ac:dyDescent="0.25">
      <c r="B30" s="19">
        <f t="shared" si="4"/>
        <v>65</v>
      </c>
      <c r="C30" s="107">
        <v>1.9546999999999998E-5</v>
      </c>
      <c r="D30" s="107">
        <v>2.8351999999999999E-5</v>
      </c>
      <c r="E30" s="107">
        <v>1.9930999999999999E-5</v>
      </c>
      <c r="F30" s="107">
        <v>2.9721999999999998E-5</v>
      </c>
      <c r="G30" s="107">
        <v>6.5900000000000008E-4</v>
      </c>
      <c r="H30" s="107"/>
      <c r="I30" s="52"/>
    </row>
    <row r="31" spans="2:11" x14ac:dyDescent="0.25">
      <c r="B31" s="19">
        <f t="shared" si="4"/>
        <v>70</v>
      </c>
      <c r="C31" s="107">
        <v>1.9782000000000001E-5</v>
      </c>
      <c r="D31" s="107">
        <v>2.8670999999999997E-5</v>
      </c>
      <c r="E31" s="107">
        <v>2.035E-5</v>
      </c>
      <c r="F31" s="107">
        <v>3.0122999999999999E-5</v>
      </c>
      <c r="G31" s="107">
        <v>6.6312999999999995E-4</v>
      </c>
      <c r="H31" s="107"/>
      <c r="I31" s="52"/>
    </row>
    <row r="32" spans="2:11" x14ac:dyDescent="0.25">
      <c r="B32" s="19">
        <f t="shared" si="4"/>
        <v>75</v>
      </c>
      <c r="C32" s="107">
        <v>2.0015000000000001E-5</v>
      </c>
      <c r="D32" s="107">
        <v>2.8989E-5</v>
      </c>
      <c r="E32" s="107">
        <v>2.0769000000000001E-5</v>
      </c>
      <c r="F32" s="107">
        <v>3.0524000000000001E-5</v>
      </c>
      <c r="G32" s="107">
        <v>6.6679E-4</v>
      </c>
      <c r="H32" s="107"/>
      <c r="I32" s="52"/>
    </row>
    <row r="33" spans="2:9" x14ac:dyDescent="0.25">
      <c r="B33" s="19">
        <f t="shared" si="4"/>
        <v>80</v>
      </c>
      <c r="C33" s="107">
        <v>2.0245999999999999E-5</v>
      </c>
      <c r="D33" s="107">
        <v>2.9305000000000001E-5</v>
      </c>
      <c r="E33" s="107">
        <v>2.1189E-5</v>
      </c>
      <c r="F33" s="107">
        <v>3.0925E-5</v>
      </c>
      <c r="G33" s="107">
        <v>6.7000999999999996E-4</v>
      </c>
      <c r="H33" s="107"/>
      <c r="I33" s="52"/>
    </row>
    <row r="34" spans="2:9" x14ac:dyDescent="0.25">
      <c r="B34" s="19">
        <f t="shared" si="4"/>
        <v>85</v>
      </c>
      <c r="C34" s="107">
        <v>2.0476999999999997E-5</v>
      </c>
      <c r="D34" s="107">
        <v>2.9620000000000001E-5</v>
      </c>
      <c r="E34" s="107">
        <v>2.1610000000000001E-5</v>
      </c>
      <c r="F34" s="107">
        <v>3.1325999999999998E-5</v>
      </c>
      <c r="G34" s="107">
        <v>6.7283000000000002E-4</v>
      </c>
      <c r="H34" s="107"/>
      <c r="I34" s="52"/>
    </row>
    <row r="35" spans="2:9" x14ac:dyDescent="0.25">
      <c r="B35" s="19">
        <f t="shared" si="4"/>
        <v>90</v>
      </c>
      <c r="C35" s="107">
        <v>2.0705999999999998E-5</v>
      </c>
      <c r="D35" s="107">
        <v>2.9933999999999998E-5</v>
      </c>
      <c r="E35" s="107">
        <v>2.2031E-5</v>
      </c>
      <c r="F35" s="107">
        <v>3.1726999999999996E-5</v>
      </c>
      <c r="G35" s="107">
        <v>6.7527000000000006E-4</v>
      </c>
      <c r="H35" s="107"/>
      <c r="I35" s="52"/>
    </row>
    <row r="36" spans="2:9" x14ac:dyDescent="0.25">
      <c r="B36" s="19">
        <f t="shared" si="4"/>
        <v>95</v>
      </c>
      <c r="C36" s="107">
        <v>2.0934E-5</v>
      </c>
      <c r="D36" s="107">
        <v>3.0245999999999998E-5</v>
      </c>
      <c r="E36" s="107">
        <v>2.2453E-5</v>
      </c>
      <c r="F36" s="107">
        <v>3.2128999999999997E-5</v>
      </c>
      <c r="G36" s="107">
        <v>6.7734999999999996E-4</v>
      </c>
      <c r="H36" s="107"/>
      <c r="I36" s="52"/>
    </row>
    <row r="37" spans="2:9" x14ac:dyDescent="0.25">
      <c r="B37" s="19">
        <f t="shared" si="4"/>
        <v>100</v>
      </c>
      <c r="C37" s="107">
        <v>2.1160000000000001E-5</v>
      </c>
      <c r="D37" s="107">
        <v>3.0555999999999997E-5</v>
      </c>
      <c r="E37" s="107">
        <v>2.2875E-5</v>
      </c>
      <c r="F37" s="107">
        <v>3.2530000000000002E-5</v>
      </c>
      <c r="G37" s="107">
        <v>2.5052999999999999E-5</v>
      </c>
      <c r="H37" s="107"/>
      <c r="I37" s="73"/>
    </row>
    <row r="38" spans="2:9" x14ac:dyDescent="0.25">
      <c r="B38" s="19">
        <f t="shared" si="4"/>
        <v>105</v>
      </c>
      <c r="C38" s="107">
        <v>2.1385999999999998E-5</v>
      </c>
      <c r="D38" s="107">
        <v>3.0865999999999999E-5</v>
      </c>
      <c r="E38" s="107">
        <v>2.3296999999999997E-5</v>
      </c>
      <c r="F38" s="107">
        <v>3.2932000000000003E-5</v>
      </c>
      <c r="G38" s="107">
        <v>2.5418E-5</v>
      </c>
      <c r="H38" s="107"/>
      <c r="I38" s="73"/>
    </row>
    <row r="39" spans="2:9" x14ac:dyDescent="0.25">
      <c r="B39" s="19">
        <f t="shared" si="4"/>
        <v>110</v>
      </c>
      <c r="C39" s="107">
        <v>2.1610000000000001E-5</v>
      </c>
      <c r="D39" s="107">
        <v>3.1174000000000003E-5</v>
      </c>
      <c r="E39" s="107">
        <v>2.3719000000000001E-5</v>
      </c>
      <c r="F39" s="107">
        <v>3.3334000000000003E-5</v>
      </c>
      <c r="G39" s="107">
        <v>2.5767000000000002E-5</v>
      </c>
      <c r="H39" s="107"/>
      <c r="I39" s="73"/>
    </row>
    <row r="40" spans="2:9" x14ac:dyDescent="0.25">
      <c r="B40" s="19">
        <f t="shared" si="4"/>
        <v>115</v>
      </c>
      <c r="C40" s="107">
        <v>2.1833000000000003E-5</v>
      </c>
      <c r="D40" s="107">
        <v>3.1480999999999999E-5</v>
      </c>
      <c r="E40" s="107">
        <v>2.4123999999999998E-5</v>
      </c>
      <c r="F40" s="107">
        <v>3.3736000000000004E-5</v>
      </c>
      <c r="G40" s="107">
        <v>2.6124999999999998E-5</v>
      </c>
      <c r="H40" s="107"/>
      <c r="I40" s="73"/>
    </row>
    <row r="41" spans="2:9" x14ac:dyDescent="0.25">
      <c r="B41" s="19">
        <f t="shared" si="4"/>
        <v>120</v>
      </c>
      <c r="C41" s="107">
        <v>2.2055000000000001E-5</v>
      </c>
      <c r="D41" s="107">
        <v>3.1787000000000006E-5</v>
      </c>
      <c r="E41" s="107">
        <v>2.4564000000000001E-5</v>
      </c>
      <c r="F41" s="107">
        <v>3.4138000000000004E-5</v>
      </c>
      <c r="G41" s="107">
        <v>2.6429000000000001E-5</v>
      </c>
      <c r="H41" s="107"/>
      <c r="I41" s="73"/>
    </row>
    <row r="42" spans="2:9" x14ac:dyDescent="0.25">
      <c r="B42" s="19">
        <f t="shared" si="4"/>
        <v>125</v>
      </c>
      <c r="C42" s="107">
        <v>2.2276000000000002E-5</v>
      </c>
      <c r="D42" s="107">
        <v>9.2091999999999999E-5</v>
      </c>
      <c r="E42" s="107">
        <v>2.4987E-5</v>
      </c>
      <c r="F42" s="107">
        <v>3.4539999999999998E-5</v>
      </c>
      <c r="G42" s="107">
        <v>2.6868000000000001E-5</v>
      </c>
      <c r="H42" s="107"/>
      <c r="I42" s="73"/>
    </row>
    <row r="43" spans="2:9" x14ac:dyDescent="0.25">
      <c r="B43" s="19">
        <f t="shared" si="4"/>
        <v>130</v>
      </c>
      <c r="C43" s="107">
        <v>2.2495999999999999E-5</v>
      </c>
      <c r="D43" s="107">
        <v>3.2396E-5</v>
      </c>
      <c r="E43" s="107">
        <v>2.5409E-5</v>
      </c>
      <c r="F43" s="107">
        <v>3.4941999999999999E-5</v>
      </c>
      <c r="G43" s="107">
        <v>2.7251E-5</v>
      </c>
      <c r="H43" s="107"/>
      <c r="I43" s="73"/>
    </row>
    <row r="44" spans="2:9" x14ac:dyDescent="0.25">
      <c r="B44" s="19">
        <f t="shared" si="4"/>
        <v>135</v>
      </c>
      <c r="C44" s="107">
        <v>2.2714000000000003E-5</v>
      </c>
      <c r="D44" s="107">
        <v>3.2700000000000002E-5</v>
      </c>
      <c r="E44" s="107">
        <v>2.5829999999999998E-5</v>
      </c>
      <c r="F44" s="107">
        <v>3.5345000000000001E-5</v>
      </c>
      <c r="G44" s="107">
        <v>2.7642000000000001E-5</v>
      </c>
      <c r="H44" s="107"/>
      <c r="I44" s="73"/>
    </row>
    <row r="45" spans="2:9" x14ac:dyDescent="0.25">
      <c r="B45" s="19">
        <f t="shared" si="4"/>
        <v>140</v>
      </c>
      <c r="C45" s="107">
        <v>2.2932E-5</v>
      </c>
      <c r="D45" s="107">
        <v>3.3001999999999993E-5</v>
      </c>
      <c r="E45" s="107">
        <v>2.6252000000000002E-5</v>
      </c>
      <c r="F45" s="107">
        <v>3.5747000000000002E-5</v>
      </c>
      <c r="G45" s="107">
        <v>2.8039E-5</v>
      </c>
      <c r="H45" s="107"/>
      <c r="I45" s="73"/>
    </row>
    <row r="46" spans="2:9" x14ac:dyDescent="0.25">
      <c r="B46" s="19">
        <f t="shared" si="4"/>
        <v>145</v>
      </c>
      <c r="C46" s="107">
        <v>2.3147999999999999E-5</v>
      </c>
      <c r="D46" s="107">
        <v>3.3302999999999996E-5</v>
      </c>
      <c r="E46" s="107">
        <v>2.6673E-5</v>
      </c>
      <c r="F46" s="107">
        <v>3.6150000000000005E-5</v>
      </c>
      <c r="G46" s="107">
        <v>2.8444000000000001E-5</v>
      </c>
      <c r="H46" s="107"/>
      <c r="I46" s="73"/>
    </row>
    <row r="47" spans="2:9" x14ac:dyDescent="0.25">
      <c r="B47" s="19">
        <f t="shared" si="4"/>
        <v>150</v>
      </c>
      <c r="C47" s="107">
        <v>2.3363999999999999E-5</v>
      </c>
      <c r="D47" s="107">
        <v>3.3603999999999999E-5</v>
      </c>
      <c r="E47" s="107">
        <v>2.7093999999999998E-5</v>
      </c>
      <c r="F47" s="107">
        <v>3.6553000000000001E-5</v>
      </c>
      <c r="G47" s="107">
        <v>2.8856E-5</v>
      </c>
      <c r="H47" s="107"/>
      <c r="I47" s="73"/>
    </row>
    <row r="48" spans="2:9" x14ac:dyDescent="0.25">
      <c r="B48" s="19">
        <f t="shared" si="4"/>
        <v>155</v>
      </c>
      <c r="C48" s="107">
        <v>2.3578E-5</v>
      </c>
      <c r="D48" s="107">
        <v>3.3903000000000004E-5</v>
      </c>
      <c r="E48" s="107">
        <v>2.7514000000000001E-5</v>
      </c>
      <c r="F48" s="107">
        <v>3.6956000000000003E-5</v>
      </c>
      <c r="G48" s="107">
        <v>2.9274000000000001E-5</v>
      </c>
      <c r="H48" s="107"/>
      <c r="I48" s="73"/>
    </row>
    <row r="49" spans="2:9" x14ac:dyDescent="0.25">
      <c r="B49" s="19">
        <f t="shared" si="4"/>
        <v>160</v>
      </c>
      <c r="C49" s="107">
        <v>2.3791E-5</v>
      </c>
      <c r="D49" s="107">
        <v>3.4202000000000002E-5</v>
      </c>
      <c r="E49" s="107">
        <v>2.7934000000000001E-5</v>
      </c>
      <c r="F49" s="107">
        <v>3.7359000000000006E-5</v>
      </c>
      <c r="G49" s="107">
        <v>2.9697E-5</v>
      </c>
      <c r="H49" s="107"/>
      <c r="I49" s="73"/>
    </row>
    <row r="50" spans="2:9" x14ac:dyDescent="0.25">
      <c r="B50" s="19">
        <f t="shared" si="4"/>
        <v>165</v>
      </c>
      <c r="C50" s="107">
        <v>2.4003E-5</v>
      </c>
      <c r="D50" s="107">
        <v>3.4499999999999998E-4</v>
      </c>
      <c r="E50" s="107">
        <v>2.8354E-5</v>
      </c>
      <c r="F50" s="107">
        <v>3.7761999999999995E-5</v>
      </c>
      <c r="G50" s="107">
        <v>3.0127000000000001E-5</v>
      </c>
      <c r="H50" s="107"/>
      <c r="I50" s="73"/>
    </row>
    <row r="51" spans="2:9" x14ac:dyDescent="0.25">
      <c r="B51" s="19">
        <f t="shared" si="4"/>
        <v>170</v>
      </c>
      <c r="C51" s="107">
        <v>2.4215000000000001E-5</v>
      </c>
      <c r="D51" s="107">
        <v>3.4798000000000001E-5</v>
      </c>
      <c r="E51" s="107">
        <v>2.8773E-5</v>
      </c>
      <c r="F51" s="107">
        <v>3.8166E-5</v>
      </c>
      <c r="G51" s="107">
        <v>3.0562999999999999E-5</v>
      </c>
      <c r="H51" s="107"/>
      <c r="I51" s="73"/>
    </row>
    <row r="52" spans="2:9" x14ac:dyDescent="0.25">
      <c r="B52" s="19">
        <f t="shared" si="4"/>
        <v>175</v>
      </c>
      <c r="C52" s="107">
        <v>2.4424999999999997E-5</v>
      </c>
      <c r="D52" s="107">
        <v>3.5095000000000002E-5</v>
      </c>
      <c r="E52" s="107">
        <v>2.9191000000000002E-5</v>
      </c>
      <c r="F52" s="107">
        <v>3.8568999999999996E-5</v>
      </c>
      <c r="G52" s="107">
        <v>3.1004000000000003E-5</v>
      </c>
      <c r="H52" s="107"/>
      <c r="I52" s="73"/>
    </row>
    <row r="53" spans="2:9" x14ac:dyDescent="0.25">
      <c r="B53" s="19">
        <f t="shared" si="4"/>
        <v>180</v>
      </c>
      <c r="C53" s="107">
        <v>2.4633999999999998E-5</v>
      </c>
      <c r="D53" s="107">
        <v>3.5391E-5</v>
      </c>
      <c r="E53" s="107">
        <v>2.9609000000000001E-5</v>
      </c>
      <c r="F53" s="107">
        <v>3.8971999999999999E-5</v>
      </c>
      <c r="G53" s="107">
        <v>3.1449999999999999E-5</v>
      </c>
      <c r="H53" s="107"/>
      <c r="I53" s="73"/>
    </row>
    <row r="54" spans="2:9" x14ac:dyDescent="0.25">
      <c r="B54" s="19">
        <f t="shared" si="4"/>
        <v>185</v>
      </c>
      <c r="C54" s="107">
        <v>2.4842E-5</v>
      </c>
      <c r="D54" s="107">
        <v>3.5687000000000006E-5</v>
      </c>
      <c r="E54" s="107">
        <v>3.0026E-5</v>
      </c>
      <c r="F54" s="107">
        <v>3.9376000000000004E-5</v>
      </c>
      <c r="G54" s="107">
        <v>3.1900999999999998E-5</v>
      </c>
      <c r="H54" s="107"/>
    </row>
    <row r="55" spans="2:9" x14ac:dyDescent="0.25">
      <c r="B55" s="19">
        <f t="shared" si="4"/>
        <v>190</v>
      </c>
      <c r="C55" s="107">
        <v>2.5049999999999999E-5</v>
      </c>
      <c r="D55" s="107">
        <v>3.5982000000000002E-5</v>
      </c>
      <c r="E55" s="107">
        <v>3.0442000000000001E-5</v>
      </c>
      <c r="F55" s="107">
        <v>3.9779E-5</v>
      </c>
      <c r="G55" s="107">
        <v>3.2356999999999995E-5</v>
      </c>
      <c r="H55" s="107"/>
      <c r="I55" s="73"/>
    </row>
    <row r="56" spans="2:9" x14ac:dyDescent="0.25">
      <c r="B56" s="19">
        <f t="shared" si="4"/>
        <v>195</v>
      </c>
      <c r="C56" s="107">
        <v>2.5256E-5</v>
      </c>
      <c r="D56" s="107">
        <v>3.6276999999999998E-5</v>
      </c>
      <c r="E56" s="107">
        <v>3.0858000000000002E-5</v>
      </c>
      <c r="F56" s="107">
        <v>4.0182000000000003E-5</v>
      </c>
      <c r="G56" s="107">
        <v>3.2818999999999999E-5</v>
      </c>
      <c r="H56" s="107"/>
      <c r="I56" s="73"/>
    </row>
    <row r="57" spans="2:9" x14ac:dyDescent="0.25">
      <c r="B57" s="19">
        <f t="shared" si="4"/>
        <v>200</v>
      </c>
      <c r="C57" s="107">
        <v>2.5461000000000002E-5</v>
      </c>
      <c r="D57" s="107">
        <v>3.6570999999999999E-5</v>
      </c>
      <c r="E57" s="107">
        <v>3.1273000000000004E-5</v>
      </c>
      <c r="F57" s="107">
        <v>4.0585999999999994E-5</v>
      </c>
      <c r="G57" s="107">
        <v>3.3284000000000002E-5</v>
      </c>
      <c r="H57" s="107"/>
      <c r="I57" s="73"/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60"/>
  <sheetViews>
    <sheetView workbookViewId="0">
      <selection activeCell="J22" sqref="J22"/>
    </sheetView>
  </sheetViews>
  <sheetFormatPr defaultRowHeight="15" x14ac:dyDescent="0.25"/>
  <cols>
    <col min="1" max="1" width="8.796875" style="19"/>
    <col min="2" max="2" width="11.3984375" style="19" bestFit="1" customWidth="1"/>
    <col min="3" max="7" width="8.796875" style="19"/>
    <col min="8" max="8" width="14.69921875" style="19" bestFit="1" customWidth="1"/>
    <col min="9" max="16384" width="8.796875" style="19"/>
  </cols>
  <sheetData>
    <row r="1" spans="2:9" x14ac:dyDescent="0.25">
      <c r="C1" s="19">
        <v>2</v>
      </c>
      <c r="D1" s="19">
        <v>3</v>
      </c>
      <c r="E1" s="19">
        <v>4</v>
      </c>
      <c r="F1" s="19">
        <v>5</v>
      </c>
      <c r="G1" s="19">
        <v>6</v>
      </c>
      <c r="H1" s="19" t="s">
        <v>262</v>
      </c>
    </row>
    <row r="2" spans="2:9" x14ac:dyDescent="0.25">
      <c r="B2" s="19" t="s">
        <v>260</v>
      </c>
      <c r="C2" s="51">
        <f>VLOOKUP(sg_temp,prandtl,C1,1)</f>
        <v>0.66691459459459457</v>
      </c>
      <c r="D2" s="51">
        <f>VLOOKUP(sg_temp,prandtl,D1,1)</f>
        <v>0.72116285597333485</v>
      </c>
      <c r="E2" s="51">
        <f>VLOOKUP(sg_temp,prandtl,E1,1)</f>
        <v>0.73339307224171257</v>
      </c>
      <c r="F2" s="51">
        <f>VLOOKUP(sg_temp,prandtl,F1,1)</f>
        <v>0.6962841122621054</v>
      </c>
      <c r="G2" s="51">
        <f>VLOOKUP(sg_temp,prandtl,G1,1)</f>
        <v>0.97158608613664688</v>
      </c>
    </row>
    <row r="3" spans="2:9" x14ac:dyDescent="0.25">
      <c r="C3" s="51">
        <f>C2*C8</f>
        <v>6.7711402791611431E-3</v>
      </c>
      <c r="D3" s="51">
        <f t="shared" ref="D3:G3" si="0">D2*D8</f>
        <v>0.42917088598254938</v>
      </c>
      <c r="E3" s="51">
        <f t="shared" si="0"/>
        <v>0.16375669070238713</v>
      </c>
      <c r="F3" s="51">
        <f t="shared" si="0"/>
        <v>6.0226037927360986E-3</v>
      </c>
      <c r="G3" s="51">
        <f t="shared" si="0"/>
        <v>0.15817568598235393</v>
      </c>
      <c r="H3" s="112">
        <f>SUM(C3:G3)</f>
        <v>0.7638970067391877</v>
      </c>
      <c r="I3" s="19" t="s">
        <v>260</v>
      </c>
    </row>
    <row r="4" spans="2:9" x14ac:dyDescent="0.25">
      <c r="B4" s="19" t="s">
        <v>261</v>
      </c>
      <c r="C4" s="51">
        <f>VLOOKUP(väljund_temp,prandtl,C1,1)</f>
        <v>0.66745366885917623</v>
      </c>
      <c r="D4" s="51">
        <f>VLOOKUP(väljund_temp,prandtl,D1,1)</f>
        <v>0.7206733968065796</v>
      </c>
      <c r="E4" s="51">
        <f>VLOOKUP(väljund_temp,prandtl,E1,1)</f>
        <v>0.75696019627247246</v>
      </c>
      <c r="F4" s="51">
        <f>VLOOKUP(väljund_temp,prandtl,F1,1)</f>
        <v>0.70735303752318457</v>
      </c>
      <c r="G4" s="51">
        <f>VLOOKUP(väljund_temp,prandtl,G1,1)</f>
        <v>3.9874550371022508</v>
      </c>
    </row>
    <row r="5" spans="2:9" x14ac:dyDescent="0.25">
      <c r="C5" s="51">
        <f>C4*C8</f>
        <v>6.7766134649272858E-3</v>
      </c>
      <c r="D5" s="51">
        <f t="shared" ref="D5:G5" si="1">D4*D8</f>
        <v>0.42887960416942117</v>
      </c>
      <c r="E5" s="51">
        <f t="shared" si="1"/>
        <v>0.16901890872260045</v>
      </c>
      <c r="F5" s="51">
        <f t="shared" si="1"/>
        <v>6.1183459618950487E-3</v>
      </c>
      <c r="G5" s="51">
        <f t="shared" si="1"/>
        <v>0.64916371777758752</v>
      </c>
      <c r="H5" s="112">
        <f>SUM(C5:G5)</f>
        <v>1.2599571900964315</v>
      </c>
      <c r="I5" s="19" t="s">
        <v>261</v>
      </c>
    </row>
    <row r="6" spans="2:9" x14ac:dyDescent="0.25">
      <c r="B6" s="21">
        <f>AVERAGE(sg_temp,väljund_temp)</f>
        <v>102.15416666666667</v>
      </c>
      <c r="C6" s="51">
        <f>VLOOKUP($B$6,prandtl,C1,1)</f>
        <v>0.66713311531190922</v>
      </c>
      <c r="D6" s="51">
        <f>VLOOKUP($B$6,prandtl,D1,1)</f>
        <v>0.7207087446000785</v>
      </c>
      <c r="E6" s="51">
        <f>VLOOKUP($B$6,prandtl,E1,1)</f>
        <v>0.7424809726775955</v>
      </c>
      <c r="F6" s="51">
        <f>VLOOKUP($B$6,prandtl,F1,1)</f>
        <v>0.70140024438979398</v>
      </c>
      <c r="G6" s="51">
        <f>VLOOKUP($B$6,prandtl,G1,1)</f>
        <v>1.0179207280565201</v>
      </c>
    </row>
    <row r="7" spans="2:9" x14ac:dyDescent="0.25">
      <c r="B7" s="21"/>
      <c r="C7" s="51">
        <f>C6*C8</f>
        <v>6.773358905718176E-3</v>
      </c>
      <c r="D7" s="51">
        <f t="shared" ref="D7:G7" si="2">D6*D8</f>
        <v>0.42890063997808464</v>
      </c>
      <c r="E7" s="51">
        <f t="shared" si="2"/>
        <v>0.16578589517286851</v>
      </c>
      <c r="F7" s="51">
        <f t="shared" si="2"/>
        <v>6.0668564709370305E-3</v>
      </c>
      <c r="G7" s="51">
        <f t="shared" si="2"/>
        <v>0.16571903584604467</v>
      </c>
      <c r="H7" s="112">
        <f>SUM(C7:G7)</f>
        <v>0.77324578637365304</v>
      </c>
      <c r="I7" s="19" t="s">
        <v>263</v>
      </c>
    </row>
    <row r="8" spans="2:9" x14ac:dyDescent="0.25">
      <c r="B8" s="19" t="s">
        <v>238</v>
      </c>
      <c r="C8" s="69">
        <f>'saadav soojus'!C22/suitsugaasid!C10</f>
        <v>1.015293462467589E-2</v>
      </c>
      <c r="D8" s="69">
        <f>'saadav soojus'!C19/suitsugaasid!C10</f>
        <v>0.59510952682568286</v>
      </c>
      <c r="E8" s="69">
        <f>'saadav soojus'!C20/suitsugaasid!C10</f>
        <v>0.22328638884172061</v>
      </c>
      <c r="F8" s="69">
        <f>'saadav soojus'!C21/suitsugaasid!C10</f>
        <v>8.6496355247424953E-3</v>
      </c>
      <c r="G8" s="69">
        <f>'saadav soojus'!E8/suitsugaasid!C10</f>
        <v>0.16280151418317823</v>
      </c>
    </row>
    <row r="9" spans="2:9" x14ac:dyDescent="0.25">
      <c r="B9" s="19" t="s">
        <v>63</v>
      </c>
      <c r="C9" s="19" t="s">
        <v>134</v>
      </c>
      <c r="D9" s="19" t="s">
        <v>110</v>
      </c>
      <c r="E9" s="19" t="s">
        <v>109</v>
      </c>
      <c r="F9" s="19" t="s">
        <v>108</v>
      </c>
      <c r="G9" s="19" t="s">
        <v>237</v>
      </c>
    </row>
    <row r="10" spans="2:9" x14ac:dyDescent="0.25">
      <c r="B10" s="19">
        <v>30</v>
      </c>
      <c r="C10" s="51">
        <f>erisoojused!J4*'dünaamiline viskoossus'!D4/soojusjuhtivus!C7</f>
        <v>0.66756903016397118</v>
      </c>
      <c r="D10" s="51">
        <f>erisoojused!K4*'dünaamiline viskoossus'!E4/soojusjuhtivus!D7</f>
        <v>0.72076641092527238</v>
      </c>
      <c r="E10" s="51">
        <f>erisoojused!L4*'dünaamiline viskoossus'!F4/soojusjuhtivus!E7</f>
        <v>0.76159308342133059</v>
      </c>
      <c r="F10" s="51">
        <f>erisoojused!M4*'dünaamiline viskoossus'!G4/soojusjuhtivus!F7</f>
        <v>0.70907490914495919</v>
      </c>
      <c r="G10" s="51">
        <f>erisoojused!G4*'dünaamiline viskoossus'!C4/soojusjuhtivus!G7</f>
        <v>5.4149845653939872</v>
      </c>
    </row>
    <row r="11" spans="2:9" x14ac:dyDescent="0.25">
      <c r="B11" s="19">
        <v>31</v>
      </c>
      <c r="C11" s="51">
        <f>erisoojused!J5*'dünaamiline viskoossus'!D5/soojusjuhtivus!C8</f>
        <v>0.66755144324143334</v>
      </c>
      <c r="D11" s="51">
        <f>erisoojused!K5*'dünaamiline viskoossus'!E5/soojusjuhtivus!D8</f>
        <v>0.72075160512722414</v>
      </c>
      <c r="E11" s="51">
        <f>erisoojused!L5*'dünaamiline viskoossus'!F5/soojusjuhtivus!E8</f>
        <v>0.76123331581713094</v>
      </c>
      <c r="F11" s="51">
        <f>erisoojused!M5*'dünaamiline viskoossus'!G5/soojusjuhtivus!F8</f>
        <v>0.70896412989515023</v>
      </c>
      <c r="G11" s="51">
        <f>erisoojused!G5*'dünaamiline viskoossus'!C5/soojusjuhtivus!G8</f>
        <v>5.2873690784463054</v>
      </c>
    </row>
    <row r="12" spans="2:9" x14ac:dyDescent="0.25">
      <c r="B12" s="19">
        <v>32</v>
      </c>
      <c r="C12" s="51">
        <f>erisoojused!J6*'dünaamiline viskoossus'!D6/soojusjuhtivus!C9</f>
        <v>0.66755474396081504</v>
      </c>
      <c r="D12" s="51">
        <f>erisoojused!K6*'dünaamiline viskoossus'!E6/soojusjuhtivus!D9</f>
        <v>0.72072463646425722</v>
      </c>
      <c r="E12" s="51">
        <f>erisoojused!L6*'dünaamiline viskoossus'!F6/soojusjuhtivus!E9</f>
        <v>0.76089110878661081</v>
      </c>
      <c r="F12" s="51">
        <f>erisoojused!M6*'dünaamiline viskoossus'!G6/soojusjuhtivus!F9</f>
        <v>0.70885461490155521</v>
      </c>
      <c r="G12" s="51">
        <f>erisoojused!G6*'dünaamiline viskoossus'!C6/soojusjuhtivus!G9</f>
        <v>5.1649105691056922</v>
      </c>
    </row>
    <row r="13" spans="2:9" x14ac:dyDescent="0.25">
      <c r="B13" s="19">
        <v>33</v>
      </c>
      <c r="C13" s="51">
        <f>erisoojused!J7*'dünaamiline viskoossus'!D7/soojusjuhtivus!C10</f>
        <v>0.66756265001387738</v>
      </c>
      <c r="D13" s="51">
        <f>erisoojused!K7*'dünaamiline viskoossus'!E7/soojusjuhtivus!D10</f>
        <v>0.72071001218212294</v>
      </c>
      <c r="E13" s="51">
        <f>erisoojused!L7*'dünaamiline viskoossus'!F7/soojusjuhtivus!E10</f>
        <v>0.76059822951009315</v>
      </c>
      <c r="F13" s="51">
        <f>erisoojused!M7*'dünaamiline viskoossus'!G7/soojusjuhtivus!F10</f>
        <v>0.70868633839127892</v>
      </c>
      <c r="G13" s="51">
        <f>erisoojused!G7*'dünaamiline viskoossus'!C7/soojusjuhtivus!G10</f>
        <v>5.046733647180214</v>
      </c>
    </row>
    <row r="14" spans="2:9" x14ac:dyDescent="0.25">
      <c r="B14" s="19">
        <v>34</v>
      </c>
      <c r="C14" s="51">
        <f>erisoojused!J8*'dünaamiline viskoossus'!D8/soojusjuhtivus!C11</f>
        <v>0.66752884410983182</v>
      </c>
      <c r="D14" s="51">
        <f>erisoojused!K8*'dünaamiline viskoossus'!E8/soojusjuhtivus!D11</f>
        <v>0.72072282980177738</v>
      </c>
      <c r="E14" s="51">
        <f>erisoojused!L8*'dünaamiline viskoossus'!F8/soojusjuhtivus!E11</f>
        <v>0.75786428235294123</v>
      </c>
      <c r="F14" s="51">
        <f>erisoojused!M8*'dünaamiline viskoossus'!G8/soojusjuhtivus!F11</f>
        <v>0.70858718750000005</v>
      </c>
      <c r="G14" s="51">
        <f>erisoojused!G8*'dünaamiline viskoossus'!C8/soojusjuhtivus!G11</f>
        <v>4.9327569475715656</v>
      </c>
    </row>
    <row r="15" spans="2:9" x14ac:dyDescent="0.25">
      <c r="B15" s="19">
        <f>B10+5</f>
        <v>35</v>
      </c>
      <c r="C15" s="51">
        <f>erisoojused!J9*'dünaamiline viskoossus'!D9/soojusjuhtivus!C12</f>
        <v>0.66752394136807802</v>
      </c>
      <c r="D15" s="51">
        <f>erisoojused!K9*'dünaamiline viskoossus'!E9/soojusjuhtivus!D12</f>
        <v>0.72069613636363639</v>
      </c>
      <c r="E15" s="51">
        <f>erisoojused!L9*'dünaamiline viskoossus'!F9/soojusjuhtivus!E12</f>
        <v>0.75989449060279635</v>
      </c>
      <c r="F15" s="51">
        <f>erisoojused!M9*'dünaamiline viskoossus'!G9/soojusjuhtivus!F12</f>
        <v>0.7084556306520704</v>
      </c>
      <c r="G15" s="51">
        <f>erisoojused!G9*'dünaamiline viskoossus'!C9/soojusjuhtivus!G12</f>
        <v>4.8229706667522292</v>
      </c>
    </row>
    <row r="16" spans="2:9" x14ac:dyDescent="0.25">
      <c r="B16" s="19">
        <v>36</v>
      </c>
      <c r="C16" s="51">
        <f>erisoojused!J10*'dünaamiline viskoossus'!D10/soojusjuhtivus!C13</f>
        <v>0.64168617146632911</v>
      </c>
      <c r="D16" s="51">
        <f>erisoojused!K10*'dünaamiline viskoossus'!E10/soojusjuhtivus!D13</f>
        <v>0.72070892465805192</v>
      </c>
      <c r="E16" s="51">
        <f>erisoojused!L10*'dünaamiline viskoossus'!F10/soojusjuhtivus!E13</f>
        <v>0.75958581018650551</v>
      </c>
      <c r="F16" s="51">
        <f>erisoojused!M10*'dünaamiline viskoossus'!G10/soojusjuhtivus!F13</f>
        <v>0.70832537071514612</v>
      </c>
      <c r="G16" s="51">
        <f>erisoojused!G10*'dünaamiline viskoossus'!C10/soojusjuhtivus!G13</f>
        <v>4.716691016756557</v>
      </c>
    </row>
    <row r="17" spans="2:7" x14ac:dyDescent="0.25">
      <c r="B17" s="19">
        <v>37</v>
      </c>
      <c r="C17" s="51">
        <f>erisoojused!J11*'dünaamiline viskoossus'!D11/soojusjuhtivus!C14</f>
        <v>0.66749339538715002</v>
      </c>
      <c r="D17" s="51">
        <f>erisoojused!K11*'dünaamiline viskoossus'!E11/soojusjuhtivus!D14</f>
        <v>0.72068239861299588</v>
      </c>
      <c r="E17" s="51">
        <f>erisoojused!L11*'dünaamiline viskoossus'!F11/soojusjuhtivus!E14</f>
        <v>0.75923329094521719</v>
      </c>
      <c r="F17" s="51">
        <f>erisoojused!M11*'dünaamiline viskoossus'!G11/soojusjuhtivus!F14</f>
        <v>0.70820425857174063</v>
      </c>
      <c r="G17" s="51">
        <f>erisoojused!G11*'dünaamiline viskoossus'!C11/soojusjuhtivus!G14</f>
        <v>4.6143289808561256</v>
      </c>
    </row>
    <row r="18" spans="2:7" x14ac:dyDescent="0.25">
      <c r="B18" s="19">
        <v>38</v>
      </c>
      <c r="C18" s="51">
        <f>erisoojused!J12*'dünaamiline viskoossus'!D12/soojusjuhtivus!C15</f>
        <v>0.66749642129477482</v>
      </c>
      <c r="D18" s="51">
        <f>erisoojused!K12*'dünaamiline viskoossus'!E12/soojusjuhtivus!D15</f>
        <v>0.72069515753064151</v>
      </c>
      <c r="E18" s="51">
        <f>erisoojused!L12*'dünaamiline viskoossus'!F12/soojusjuhtivus!E15</f>
        <v>0.75888040006780821</v>
      </c>
      <c r="F18" s="51">
        <f>erisoojused!M12*'dünaamiline viskoossus'!G12/soojusjuhtivus!F15</f>
        <v>0.7080767496552226</v>
      </c>
      <c r="G18" s="51">
        <f>erisoojused!G12*'dünaamiline viskoossus'!C12/soojusjuhtivus!G15</f>
        <v>4.5154974130652938</v>
      </c>
    </row>
    <row r="19" spans="2:7" x14ac:dyDescent="0.25">
      <c r="B19" s="19">
        <v>39</v>
      </c>
      <c r="C19" s="51">
        <f>erisoojused!J13*'dünaamiline viskoossus'!D13/soojusjuhtivus!C16</f>
        <v>0.6674913836237506</v>
      </c>
      <c r="D19" s="51">
        <f>erisoojused!K13*'dünaamiline viskoossus'!E13/soojusjuhtivus!D16</f>
        <v>0.72066879687968821</v>
      </c>
      <c r="E19" s="51">
        <f>erisoojused!L13*'dünaamiline viskoossus'!F13/soojusjuhtivus!E16</f>
        <v>0.7585446183699871</v>
      </c>
      <c r="F19" s="51">
        <f>erisoojused!M13*'dünaamiline viskoossus'!G13/soojusjuhtivus!F16</f>
        <v>0.70795060432800183</v>
      </c>
      <c r="G19" s="51">
        <f>erisoojused!G13*'dünaamiline viskoossus'!C13/soojusjuhtivus!G16</f>
        <v>4.4198782584510727</v>
      </c>
    </row>
    <row r="20" spans="2:7" x14ac:dyDescent="0.25">
      <c r="B20" s="19">
        <f>B15+5</f>
        <v>40</v>
      </c>
      <c r="C20" s="51">
        <f>erisoojused!J14*'dünaamiline viskoossus'!D14/soojusjuhtivus!C17</f>
        <v>0.66749426314355764</v>
      </c>
      <c r="D20" s="51">
        <f>erisoojused!K14*'dünaamiline viskoossus'!E14/soojusjuhtivus!D17</f>
        <v>0.72064256640478874</v>
      </c>
      <c r="E20" s="51">
        <f>erisoojused!L14*'dünaamiline viskoossus'!F14/soojusjuhtivus!E17</f>
        <v>0.75821702592240081</v>
      </c>
      <c r="F20" s="51">
        <f>erisoojused!M14*'dünaamiline viskoossus'!G14/soojusjuhtivus!F17</f>
        <v>0.70780794912502254</v>
      </c>
      <c r="G20" s="51">
        <f>erisoojused!G14*'dünaamiline viskoossus'!C14/soojusjuhtivus!G17</f>
        <v>4.3275210694067843</v>
      </c>
    </row>
    <row r="21" spans="2:7" x14ac:dyDescent="0.25">
      <c r="B21" s="19">
        <v>41</v>
      </c>
      <c r="C21" s="51">
        <f>erisoojused!J15*'dünaamiline viskoossus'!D15/soojusjuhtivus!C18</f>
        <v>0.6674735926972396</v>
      </c>
      <c r="D21" s="51">
        <f>erisoojused!K15*'dünaamiline viskoossus'!E15/soojusjuhtivus!D18</f>
        <v>0.73371376357322526</v>
      </c>
      <c r="E21" s="51">
        <f>erisoojused!L15*'dünaamiline viskoossus'!F15/soojusjuhtivus!E18</f>
        <v>0.75788875884746154</v>
      </c>
      <c r="F21" s="51">
        <f>erisoojused!M15*'dünaamiline viskoossus'!G15/soojusjuhtivus!F18</f>
        <v>0.70771774419859712</v>
      </c>
      <c r="G21" s="51">
        <f>erisoojused!G15*'dünaamiline viskoossus'!C15/soojusjuhtivus!G18</f>
        <v>4.2382227619379131</v>
      </c>
    </row>
    <row r="22" spans="2:7" x14ac:dyDescent="0.25">
      <c r="B22" s="19">
        <v>42</v>
      </c>
      <c r="C22" s="51">
        <f>erisoojused!J16*'dünaamiline viskoossus'!D16/soojusjuhtivus!C19</f>
        <v>0.66744814600043356</v>
      </c>
      <c r="D22" s="51">
        <f>erisoojused!K16*'dünaamiline viskoossus'!E16/soojusjuhtivus!D19</f>
        <v>0.720698458789368</v>
      </c>
      <c r="E22" s="51">
        <f>erisoojused!L16*'dünaamiline viskoossus'!F16/soojusjuhtivus!E19</f>
        <v>0.75757722330097099</v>
      </c>
      <c r="F22" s="51">
        <f>erisoojused!M16*'dünaamiline viskoossus'!G16/soojusjuhtivus!F19</f>
        <v>0.70760327748878926</v>
      </c>
      <c r="G22" s="51">
        <f>erisoojused!G16*'dünaamiline viskoossus'!C16/soojusjuhtivus!G19</f>
        <v>4.1518195832017684</v>
      </c>
    </row>
    <row r="23" spans="2:7" x14ac:dyDescent="0.25">
      <c r="B23" s="19">
        <v>43</v>
      </c>
      <c r="C23" s="51">
        <f>erisoojused!J17*'dünaamiline viskoossus'!D17/soojusjuhtivus!C20</f>
        <v>0.66745094810810823</v>
      </c>
      <c r="D23" s="51">
        <f>erisoojused!K17*'dünaamiline viskoossus'!E17/soojusjuhtivus!D20</f>
        <v>0.72069927953355384</v>
      </c>
      <c r="E23" s="51">
        <f>erisoojused!L17*'dünaamiline viskoossus'!F17/soojusjuhtivus!E20</f>
        <v>0.75726482078754087</v>
      </c>
      <c r="F23" s="51">
        <f>erisoojused!M17*'dünaamiline viskoossus'!G17/soojusjuhtivus!F20</f>
        <v>0.70746481542423834</v>
      </c>
      <c r="G23" s="51">
        <f>erisoojused!G17*'dünaamiline viskoossus'!C17/soojusjuhtivus!G20</f>
        <v>4.0683167168176455</v>
      </c>
    </row>
    <row r="24" spans="2:7" x14ac:dyDescent="0.25">
      <c r="B24" s="19">
        <v>44</v>
      </c>
      <c r="C24" s="51">
        <f>erisoojused!J18*'dünaamiline viskoossus'!D18/soojusjuhtivus!C21</f>
        <v>0.66745366885917623</v>
      </c>
      <c r="D24" s="51">
        <f>erisoojused!K18*'dünaamiline viskoossus'!E18/soojusjuhtivus!D21</f>
        <v>0.7206733968065796</v>
      </c>
      <c r="E24" s="51">
        <f>erisoojused!L18*'dünaamiline viskoossus'!F18/soojusjuhtivus!E21</f>
        <v>0.75696019627247246</v>
      </c>
      <c r="F24" s="51">
        <f>erisoojused!M18*'dünaamiline viskoossus'!G18/soojusjuhtivus!F21</f>
        <v>0.70735303752318457</v>
      </c>
      <c r="G24" s="51">
        <f>erisoojused!G18*'dünaamiline viskoossus'!C18/soojusjuhtivus!G21</f>
        <v>3.9874550371022508</v>
      </c>
    </row>
    <row r="25" spans="2:7" x14ac:dyDescent="0.25">
      <c r="B25" s="19">
        <f>B20+5</f>
        <v>45</v>
      </c>
      <c r="C25" s="51">
        <f>erisoojused!J19*'dünaamiline viskoossus'!D19/soojusjuhtivus!C22</f>
        <v>0.66745630888363083</v>
      </c>
      <c r="D25" s="51">
        <f>erisoojused!K19*'dünaamiline viskoossus'!E19/soojusjuhtivus!D22</f>
        <v>0.72067427378224569</v>
      </c>
      <c r="E25" s="51">
        <f>erisoojused!L19*'dünaamiline viskoossus'!F19/soojusjuhtivus!E22</f>
        <v>0.75666324503311266</v>
      </c>
      <c r="F25" s="51">
        <f>erisoojused!M19*'dünaamiline viskoossus'!G19/soojusjuhtivus!F22</f>
        <v>0.70724254872670367</v>
      </c>
      <c r="G25" s="51">
        <f>erisoojused!G19*'dünaamiline viskoossus'!C19/soojusjuhtivus!G22</f>
        <v>3.9091171919860681</v>
      </c>
    </row>
    <row r="26" spans="2:7" x14ac:dyDescent="0.25">
      <c r="B26" s="19">
        <v>46</v>
      </c>
      <c r="C26" s="51">
        <f>erisoojused!J20*'dünaamiline viskoossus'!D20/soojusjuhtivus!C23</f>
        <v>0.66740790989541443</v>
      </c>
      <c r="D26" s="51">
        <f>erisoojused!K20*'dünaamiline viskoossus'!E20/soojusjuhtivus!D23</f>
        <v>0.72137813375608328</v>
      </c>
      <c r="E26" s="51">
        <f>erisoojused!L20*'dünaamiline viskoossus'!F20/soojusjuhtivus!E23</f>
        <v>0.75633265391740245</v>
      </c>
      <c r="F26" s="51">
        <f>erisoojused!M20*'dünaamiline viskoossus'!G20/soojusjuhtivus!F23</f>
        <v>0.70708319076497494</v>
      </c>
      <c r="G26" s="51">
        <f>erisoojused!G20*'dünaamiline viskoossus'!C20/soojusjuhtivus!G23</f>
        <v>3.8332670941174629</v>
      </c>
    </row>
    <row r="27" spans="2:7" x14ac:dyDescent="0.25">
      <c r="B27" s="19">
        <v>47</v>
      </c>
      <c r="C27" s="51">
        <f>erisoojused!J21*'dünaamiline viskoossus'!D21/soojusjuhtivus!C24</f>
        <v>0.66741055475311595</v>
      </c>
      <c r="D27" s="51">
        <f>erisoojused!K21*'dünaamiline viskoossus'!E21/soojusjuhtivus!D24</f>
        <v>0.72061120306006121</v>
      </c>
      <c r="E27" s="51">
        <f>erisoojused!L21*'dünaamiline viskoossus'!F21/soojusjuhtivus!E24</f>
        <v>0.75605094109351267</v>
      </c>
      <c r="F27" s="51">
        <f>erisoojused!M21*'dünaamiline viskoossus'!G21/soojusjuhtivus!F24</f>
        <v>0.70697540616048393</v>
      </c>
      <c r="G27" s="51">
        <f>erisoojused!G21*'dünaamiline viskoossus'!C21/soojusjuhtivus!G24</f>
        <v>3.7599464378916445</v>
      </c>
    </row>
    <row r="28" spans="2:7" x14ac:dyDescent="0.25">
      <c r="B28" s="19">
        <v>48</v>
      </c>
      <c r="C28" s="51">
        <f>erisoojused!J22*'dünaamiline viskoossus'!D22/soojusjuhtivus!C25</f>
        <v>0.66738530174483768</v>
      </c>
      <c r="D28" s="51">
        <f>erisoojused!K22*'dünaamiline viskoossus'!E22/soojusjuhtivus!D25</f>
        <v>0.72068141190283996</v>
      </c>
      <c r="E28" s="51">
        <f>erisoojused!L22*'dünaamiline viskoossus'!F22/soojusjuhtivus!E25</f>
        <v>0.75568866677466384</v>
      </c>
      <c r="F28" s="51">
        <f>erisoojused!M22*'dünaamiline viskoossus'!G22/soojusjuhtivus!F25</f>
        <v>0.70687653348379598</v>
      </c>
      <c r="G28" s="51">
        <f>erisoojused!G22*'dünaamiline viskoossus'!C22/soojusjuhtivus!G25</f>
        <v>3.6886995352319167</v>
      </c>
    </row>
    <row r="29" spans="2:7" x14ac:dyDescent="0.25">
      <c r="B29" s="19">
        <v>49</v>
      </c>
      <c r="C29" s="51">
        <f>erisoojused!J23*'dünaamiline viskoossus'!D23/soojusjuhtivus!C26</f>
        <v>0.66742338141366819</v>
      </c>
      <c r="D29" s="51">
        <f>erisoojused!K23*'dünaamiline viskoossus'!E23/soojusjuhtivus!D26</f>
        <v>0.72068242615029854</v>
      </c>
      <c r="E29" s="51">
        <f>erisoojused!L23*'dünaamiline viskoossus'!F23/soojusjuhtivus!E26</f>
        <v>0.75542194398150642</v>
      </c>
      <c r="F29" s="51">
        <f>erisoojused!M23*'dünaamiline viskoossus'!G23/soojusjuhtivus!F26</f>
        <v>0.70672157535691693</v>
      </c>
      <c r="G29" s="51">
        <f>erisoojused!G23*'dünaamiline viskoossus'!C23/soojusjuhtivus!G26</f>
        <v>3.6197365582191785</v>
      </c>
    </row>
    <row r="30" spans="2:7" x14ac:dyDescent="0.25">
      <c r="B30" s="19">
        <f>B25+5</f>
        <v>50</v>
      </c>
      <c r="C30" s="51">
        <f>erisoojused!J24*'dünaamiline viskoossus'!D24/soojusjuhtivus!C27</f>
        <v>0.66741089509449991</v>
      </c>
      <c r="D30" s="51">
        <f>erisoojused!K24*'dünaamiline viskoossus'!E24/soojusjuhtivus!D27</f>
        <v>0.72064539877300626</v>
      </c>
      <c r="E30" s="51">
        <f>erisoojused!L24*'dünaamiline viskoossus'!F24/soojusjuhtivus!E27</f>
        <v>0.75511333975594086</v>
      </c>
      <c r="F30" s="51">
        <f>erisoojused!M24*'dünaamiline viskoossus'!G24/soojusjuhtivus!F27</f>
        <v>0.70662532996703842</v>
      </c>
      <c r="G30" s="51">
        <f>erisoojused!G24*'dünaamiline viskoossus'!C24/soojusjuhtivus!G27</f>
        <v>3.5516912941468943</v>
      </c>
    </row>
    <row r="31" spans="2:7" x14ac:dyDescent="0.25">
      <c r="B31" s="19">
        <f t="shared" ref="B31:B60" si="3">B30+5</f>
        <v>55</v>
      </c>
      <c r="C31" s="51">
        <f>erisoojused!J25*'dünaamiline viskoossus'!D25/soojusjuhtivus!C28</f>
        <v>0.66733318532110097</v>
      </c>
      <c r="D31" s="51">
        <f>erisoojused!K25*'dünaamiline viskoossus'!E25/soojusjuhtivus!D28</f>
        <v>0.72064481937276692</v>
      </c>
      <c r="E31" s="51">
        <f>erisoojused!L25*'dünaamiline viskoossus'!F25/soojusjuhtivus!E28</f>
        <v>0.75362807204942917</v>
      </c>
      <c r="F31" s="51">
        <f>erisoojused!M25*'dünaamiline viskoossus'!G25/soojusjuhtivus!F28</f>
        <v>0.70606475846329408</v>
      </c>
      <c r="G31" s="51">
        <f>erisoojused!G25*'dünaamiline viskoossus'!C25/soojusjuhtivus!G28</f>
        <v>3.2524353879801629</v>
      </c>
    </row>
    <row r="32" spans="2:7" x14ac:dyDescent="0.25">
      <c r="B32" s="19">
        <f t="shared" si="3"/>
        <v>60</v>
      </c>
      <c r="C32" s="51">
        <f>erisoojused!J26*'dünaamiline viskoossus'!D26/soojusjuhtivus!C29</f>
        <v>0.66731104908864947</v>
      </c>
      <c r="D32" s="51">
        <f>erisoojused!K26*'dünaamiline viskoossus'!E26/soojusjuhtivus!D29</f>
        <v>0.72064863900681386</v>
      </c>
      <c r="E32" s="51">
        <f>erisoojused!L26*'dünaamiline viskoossus'!F26/soojusjuhtivus!E29</f>
        <v>0.75217134211335446</v>
      </c>
      <c r="F32" s="51">
        <f>erisoojused!M26*'dünaamiline viskoossus'!G26/soojusjuhtivus!F29</f>
        <v>0.70550381991814459</v>
      </c>
      <c r="G32" s="51">
        <f>erisoojused!G26*'dünaamiline viskoossus'!C26/soojusjuhtivus!G29</f>
        <v>2.9863170280719453</v>
      </c>
    </row>
    <row r="33" spans="2:7" x14ac:dyDescent="0.25">
      <c r="B33" s="19">
        <f t="shared" si="3"/>
        <v>65</v>
      </c>
      <c r="C33" s="51">
        <f>erisoojused!J27*'dünaamiline viskoossus'!D27/soojusjuhtivus!C30</f>
        <v>0.66729065841305579</v>
      </c>
      <c r="D33" s="51">
        <f>erisoojused!K27*'dünaamiline viskoossus'!E27/soojusjuhtivus!D30</f>
        <v>0.72060585143905198</v>
      </c>
      <c r="E33" s="51">
        <f>erisoojused!L27*'dünaamiline viskoossus'!F27/soojusjuhtivus!E30</f>
        <v>0.75077770307561076</v>
      </c>
      <c r="F33" s="51">
        <f>erisoojused!M27*'dünaamiline viskoossus'!G27/soojusjuhtivus!F30</f>
        <v>0.70491207724917571</v>
      </c>
      <c r="G33" s="51">
        <f>erisoojused!G27*'dünaamiline viskoossus'!C27/soojusjuhtivus!G30</f>
        <v>2.7547183611532624</v>
      </c>
    </row>
    <row r="34" spans="2:7" x14ac:dyDescent="0.25">
      <c r="B34" s="19">
        <f t="shared" si="3"/>
        <v>70</v>
      </c>
      <c r="C34" s="51">
        <f>erisoojused!J28*'dünaamiline viskoossus'!D28/soojusjuhtivus!C31</f>
        <v>0.66725598726114654</v>
      </c>
      <c r="D34" s="51">
        <f>erisoojused!K28*'dünaamiline viskoossus'!E28/soojusjuhtivus!D31</f>
        <v>0.72064862404520247</v>
      </c>
      <c r="E34" s="51">
        <f>erisoojused!L28*'dünaamiline viskoossus'!F28/soojusjuhtivus!E31</f>
        <v>0.74944041621621627</v>
      </c>
      <c r="F34" s="51">
        <f>erisoojused!M28*'dünaamiline viskoossus'!G28/soojusjuhtivus!F31</f>
        <v>0.70437655611990846</v>
      </c>
      <c r="G34" s="51">
        <f>erisoojused!G28*'dünaamiline viskoossus'!C28/soojusjuhtivus!G31</f>
        <v>2.5519869407205231</v>
      </c>
    </row>
    <row r="35" spans="2:7" x14ac:dyDescent="0.25">
      <c r="B35" s="19">
        <f t="shared" si="3"/>
        <v>75</v>
      </c>
      <c r="C35" s="51">
        <f>erisoojused!J29*'dünaamiline viskoossus'!D29/soojusjuhtivus!C32</f>
        <v>0.66784990457157134</v>
      </c>
      <c r="D35" s="51">
        <f>erisoojused!K29*'dünaamiline viskoossus'!E29/soojusjuhtivus!D32</f>
        <v>0.72061322570630237</v>
      </c>
      <c r="E35" s="51">
        <f>erisoojused!L29*'dünaamiline viskoossus'!F29/soojusjuhtivus!E32</f>
        <v>0.74813238721170972</v>
      </c>
      <c r="F35" s="51">
        <f>erisoojused!M29*'dünaamiline viskoossus'!G29/soojusjuhtivus!F32</f>
        <v>0.70384243218451059</v>
      </c>
      <c r="G35" s="51">
        <f>erisoojused!G29*'dünaamiline viskoossus'!C29/soojusjuhtivus!G32</f>
        <v>2.3793218254622897</v>
      </c>
    </row>
    <row r="36" spans="2:7" x14ac:dyDescent="0.25">
      <c r="B36" s="19">
        <f t="shared" si="3"/>
        <v>80</v>
      </c>
      <c r="C36" s="51">
        <f>erisoojused!J30*'dünaamiline viskoossus'!D30/soojusjuhtivus!C33</f>
        <v>0.66721673120616432</v>
      </c>
      <c r="D36" s="51">
        <f>erisoojused!K30*'dünaamiline viskoossus'!E30/soojusjuhtivus!D33</f>
        <v>0.72066282204401966</v>
      </c>
      <c r="E36" s="51">
        <f>erisoojused!L30*'dünaamiline viskoossus'!F30/soojusjuhtivus!E33</f>
        <v>0.74691538817310876</v>
      </c>
      <c r="F36" s="51">
        <f>erisoojused!M30*'dünaamiline viskoossus'!G30/soojusjuhtivus!F33</f>
        <v>0.70334051544058207</v>
      </c>
      <c r="G36" s="51">
        <f>erisoojused!G30*'dünaamiline viskoossus'!C30/soojusjuhtivus!G33</f>
        <v>2.2212653542484442</v>
      </c>
    </row>
    <row r="37" spans="2:7" x14ac:dyDescent="0.25">
      <c r="B37" s="19">
        <f t="shared" si="3"/>
        <v>85</v>
      </c>
      <c r="C37" s="51">
        <f>erisoojused!J31*'dünaamiline viskoossus'!D31/soojusjuhtivus!C34</f>
        <v>0.66715924012306493</v>
      </c>
      <c r="D37" s="51">
        <f>erisoojused!K31*'dünaamiline viskoossus'!E31/soojusjuhtivus!D34</f>
        <v>0.7206682106684672</v>
      </c>
      <c r="E37" s="51">
        <f>erisoojused!L31*'dünaamiline viskoossus'!F31/soojusjuhtivus!E34</f>
        <v>0.74573313928736695</v>
      </c>
      <c r="F37" s="51">
        <f>erisoojused!M31*'dünaamiline viskoossus'!G31/soojusjuhtivus!F34</f>
        <v>0.70285535338057847</v>
      </c>
      <c r="G37" s="51">
        <f>erisoojused!G31*'dünaamiline viskoossus'!C31/soojusjuhtivus!G34</f>
        <v>2.080804958161794</v>
      </c>
    </row>
    <row r="38" spans="2:7" x14ac:dyDescent="0.25">
      <c r="B38" s="19">
        <f t="shared" si="3"/>
        <v>90</v>
      </c>
      <c r="C38" s="51">
        <f>erisoojused!J32*'dünaamiline viskoossus'!D32/soojusjuhtivus!C35</f>
        <v>0.66715424997585249</v>
      </c>
      <c r="D38" s="51">
        <f>erisoojused!K32*'dünaamiline viskoossus'!E32/soojusjuhtivus!D35</f>
        <v>0.72063074764481871</v>
      </c>
      <c r="E38" s="51">
        <f>erisoojused!L32*'dünaamiline viskoossus'!F32/soojusjuhtivus!E35</f>
        <v>0.74461573419272842</v>
      </c>
      <c r="F38" s="51">
        <f>erisoojused!M32*'dünaamiline viskoossus'!G32/soojusjuhtivus!F35</f>
        <v>0.67854671919815945</v>
      </c>
      <c r="G38" s="51">
        <f>erisoojused!G32*'dünaamiline viskoossus'!C32/soojusjuhtivus!G35</f>
        <v>1.9602027337213259</v>
      </c>
    </row>
    <row r="39" spans="2:7" x14ac:dyDescent="0.25">
      <c r="B39" s="19">
        <f t="shared" si="3"/>
        <v>95</v>
      </c>
      <c r="C39" s="51">
        <f>erisoojused!J33*'dünaamiline viskoossus'!D33/soojusjuhtivus!C36</f>
        <v>0.66711809114359411</v>
      </c>
      <c r="D39" s="51">
        <f>erisoojused!K33*'dünaamiline viskoossus'!E33/soojusjuhtivus!D36</f>
        <v>0.72064451497718696</v>
      </c>
      <c r="E39" s="51">
        <f>erisoojused!L33*'dünaamiline viskoossus'!F33/soojusjuhtivus!E36</f>
        <v>0.74352458246114095</v>
      </c>
      <c r="F39" s="51">
        <f>erisoojused!M33*'dünaamiline viskoossus'!G33/soojusjuhtivus!F36</f>
        <v>0.70081716019795204</v>
      </c>
      <c r="G39" s="51">
        <f>erisoojused!G33*'dünaamiline viskoossus'!C33/soojusjuhtivus!G36</f>
        <v>1.8477135897246626</v>
      </c>
    </row>
    <row r="40" spans="2:7" x14ac:dyDescent="0.25">
      <c r="B40" s="19">
        <f t="shared" si="3"/>
        <v>100</v>
      </c>
      <c r="C40" s="51">
        <f>erisoojused!J34*'dünaamiline viskoossus'!D34/soojusjuhtivus!C37</f>
        <v>0.66713311531190922</v>
      </c>
      <c r="D40" s="51">
        <f>erisoojused!K34*'dünaamiline viskoossus'!E34/soojusjuhtivus!D37</f>
        <v>0.7207087446000785</v>
      </c>
      <c r="E40" s="51">
        <f>erisoojused!L34*'dünaamiline viskoossus'!F34/soojusjuhtivus!E37</f>
        <v>0.7424809726775955</v>
      </c>
      <c r="F40" s="51">
        <f>erisoojused!M34*'dünaamiline viskoossus'!G34/soojusjuhtivus!F37</f>
        <v>0.70140024438979398</v>
      </c>
      <c r="G40" s="51">
        <f>erisoojused!G34*'dünaamiline viskoossus'!C34/soojusjuhtivus!G37</f>
        <v>1.0179207280565201</v>
      </c>
    </row>
    <row r="41" spans="2:7" x14ac:dyDescent="0.25">
      <c r="B41" s="19">
        <f t="shared" si="3"/>
        <v>105</v>
      </c>
      <c r="C41" s="51">
        <f>erisoojused!J35*'dünaamiline viskoossus'!D35/soojusjuhtivus!C38</f>
        <v>0.66709855232395032</v>
      </c>
      <c r="D41" s="51">
        <f>erisoojused!K35*'dünaamiline viskoossus'!E35/soojusjuhtivus!D38</f>
        <v>0.72067289250307787</v>
      </c>
      <c r="E41" s="51">
        <f>erisoojused!L35*'dünaamiline viskoossus'!F35/soojusjuhtivus!E38</f>
        <v>0.74149634373524498</v>
      </c>
      <c r="F41" s="51">
        <f>erisoojused!M35*'dünaamiline viskoossus'!G35/soojusjuhtivus!F38</f>
        <v>0.70091226770314574</v>
      </c>
      <c r="G41" s="51">
        <f>erisoojused!G35*'dünaamiline viskoossus'!C35/soojusjuhtivus!G38</f>
        <v>1.0080084034935872</v>
      </c>
    </row>
    <row r="42" spans="2:7" x14ac:dyDescent="0.25">
      <c r="B42" s="19">
        <f t="shared" si="3"/>
        <v>110</v>
      </c>
      <c r="C42" s="51">
        <f>erisoojused!J36*'dünaamiline viskoossus'!D36/soojusjuhtivus!C39</f>
        <v>0.66707769551133733</v>
      </c>
      <c r="D42" s="51">
        <f>erisoojused!K36*'dünaamiline viskoossus'!E36/soojusjuhtivus!D39</f>
        <v>0.72072223647911715</v>
      </c>
      <c r="E42" s="51">
        <f>erisoojused!L36*'dünaamiline viskoossus'!F36/soojusjuhtivus!E39</f>
        <v>0.74058929128546724</v>
      </c>
      <c r="F42" s="51">
        <f>erisoojused!M36*'dünaamiline viskoossus'!G36/soojusjuhtivus!F39</f>
        <v>0.70044949901001985</v>
      </c>
      <c r="G42" s="51">
        <f>erisoojused!G36*'dünaamiline viskoossus'!C36/soojusjuhtivus!G39</f>
        <v>1.0017745954127371</v>
      </c>
    </row>
    <row r="43" spans="2:7" x14ac:dyDescent="0.25">
      <c r="B43" s="19">
        <f t="shared" si="3"/>
        <v>115</v>
      </c>
      <c r="C43" s="51">
        <f>erisoojused!J37*'dünaamiline viskoossus'!D37/soojusjuhtivus!C40</f>
        <v>0.66706343150277092</v>
      </c>
      <c r="D43" s="51">
        <f>erisoojused!K37*'dünaamiline viskoossus'!E37/soojusjuhtivus!D40</f>
        <v>0.7207643086306027</v>
      </c>
      <c r="E43" s="51">
        <f>erisoojused!L37*'dünaamiline viskoossus'!F37/soojusjuhtivus!E40</f>
        <v>0.74020630077930694</v>
      </c>
      <c r="F43" s="51">
        <f>erisoojused!M37*'dünaamiline viskoossus'!G37/soojusjuhtivus!F40</f>
        <v>0.70000412912022769</v>
      </c>
      <c r="G43" s="51">
        <f>erisoojused!G37*'dünaamiline viskoossus'!C37/soojusjuhtivus!G40</f>
        <v>0.99677410909090913</v>
      </c>
    </row>
    <row r="44" spans="2:7" x14ac:dyDescent="0.25">
      <c r="B44" s="19">
        <f t="shared" si="3"/>
        <v>120</v>
      </c>
      <c r="C44" s="51">
        <f>erisoojused!J38*'dünaamiline viskoossus'!D38/soojusjuhtivus!C41</f>
        <v>0.66705556109725683</v>
      </c>
      <c r="D44" s="51">
        <f>erisoojused!K38*'dünaamiline viskoossus'!E38/soojusjuhtivus!D41</f>
        <v>0.72083545159971041</v>
      </c>
      <c r="E44" s="51">
        <f>erisoojused!L38*'dünaamiline viskoossus'!F38/soojusjuhtivus!E41</f>
        <v>0.73883538145253203</v>
      </c>
      <c r="F44" s="51">
        <f>erisoojused!M38*'dünaamiline viskoossus'!G38/soojusjuhtivus!F41</f>
        <v>0.69955578065498847</v>
      </c>
      <c r="G44" s="51">
        <f>erisoojused!G38*'dünaamiline viskoossus'!C38/soojusjuhtivus!G41</f>
        <v>0.99487067236747517</v>
      </c>
    </row>
    <row r="45" spans="2:7" x14ac:dyDescent="0.25">
      <c r="B45" s="19">
        <f t="shared" si="3"/>
        <v>125</v>
      </c>
      <c r="C45" s="51">
        <f>erisoojused!J39*'dünaamiline viskoossus'!D39/soojusjuhtivus!C42</f>
        <v>0.66703050906805517</v>
      </c>
      <c r="D45" s="51">
        <f>erisoojused!K39*'dünaamiline viskoossus'!E39/soojusjuhtivus!D42</f>
        <v>0.25119355427181517</v>
      </c>
      <c r="E45" s="51">
        <f>erisoojused!L39*'dünaamiline viskoossus'!F39/soojusjuhtivus!E42</f>
        <v>0.73801300636330891</v>
      </c>
      <c r="F45" s="51">
        <f>erisoojused!M39*'dünaamiline viskoossus'!G39/soojusjuhtivus!F42</f>
        <v>0.69912478633468444</v>
      </c>
      <c r="G45" s="51">
        <f>erisoojused!G39*'dünaamiline viskoossus'!C39/soojusjuhtivus!G42</f>
        <v>0.98878766562453457</v>
      </c>
    </row>
    <row r="46" spans="2:7" x14ac:dyDescent="0.25">
      <c r="B46" s="19">
        <f t="shared" si="3"/>
        <v>130</v>
      </c>
      <c r="C46" s="51">
        <f>erisoojused!J40*'dünaamiline viskoossus'!D40/soojusjuhtivus!C43</f>
        <v>0.6669887837837839</v>
      </c>
      <c r="D46" s="51">
        <f>erisoojused!K40*'dünaamiline viskoossus'!E40/soojusjuhtivus!D43</f>
        <v>0.72088988764044948</v>
      </c>
      <c r="E46" s="51">
        <f>erisoojused!L40*'dünaamiline viskoossus'!F40/soojusjuhtivus!E43</f>
        <v>0.73721440158998774</v>
      </c>
      <c r="F46" s="51">
        <f>erisoojused!M40*'dünaamiline viskoossus'!G40/soojusjuhtivus!F43</f>
        <v>0.69871085198328653</v>
      </c>
      <c r="G46" s="51">
        <f>erisoojused!G40*'dünaamiline viskoossus'!C40/soojusjuhtivus!G43</f>
        <v>0.98556311328024659</v>
      </c>
    </row>
    <row r="47" spans="2:7" x14ac:dyDescent="0.25">
      <c r="B47" s="19">
        <f t="shared" si="3"/>
        <v>135</v>
      </c>
      <c r="C47" s="51">
        <f>erisoojused!J41*'dünaamiline viskoossus'!D41/soojusjuhtivus!C44</f>
        <v>0.6669831645681078</v>
      </c>
      <c r="D47" s="51">
        <f>erisoojused!K41*'dünaamiline viskoossus'!E41/soojusjuhtivus!D44</f>
        <v>0.72092041590214073</v>
      </c>
      <c r="E47" s="51">
        <f>erisoojused!L41*'dünaamiline viskoossus'!F41/soojusjuhtivus!E44</f>
        <v>0.73650975261324048</v>
      </c>
      <c r="F47" s="51">
        <f>erisoojused!M41*'dünaamiline viskoossus'!G41/soojusjuhtivus!F44</f>
        <v>0.69829393634177384</v>
      </c>
      <c r="G47" s="51">
        <f>erisoojused!G41*'dünaamiline viskoossus'!C41/soojusjuhtivus!G44</f>
        <v>0.98265836770132409</v>
      </c>
    </row>
    <row r="48" spans="2:7" x14ac:dyDescent="0.25">
      <c r="B48" s="19">
        <f t="shared" si="3"/>
        <v>140</v>
      </c>
      <c r="C48" s="51">
        <f>erisoojused!J42*'dünaamiline viskoossus'!D42/soojusjuhtivus!C45</f>
        <v>0.66696725405546819</v>
      </c>
      <c r="D48" s="51">
        <f>erisoojused!K42*'dünaamiline viskoossus'!E42/soojusjuhtivus!D45</f>
        <v>0.72096727471062372</v>
      </c>
      <c r="E48" s="51">
        <f>erisoojused!L42*'dünaamiline viskoossus'!F42/soojusjuhtivus!E45</f>
        <v>0.73579336888618008</v>
      </c>
      <c r="F48" s="51">
        <f>erisoojused!M42*'dünaamiline viskoossus'!G42/soojusjuhtivus!F45</f>
        <v>0.69789444764595632</v>
      </c>
      <c r="G48" s="51">
        <f>erisoojused!G42*'dünaamiline viskoossus'!C42/soojusjuhtivus!G45</f>
        <v>0.9800561325296907</v>
      </c>
    </row>
    <row r="49" spans="2:7" x14ac:dyDescent="0.25">
      <c r="B49" s="19">
        <f t="shared" si="3"/>
        <v>145</v>
      </c>
      <c r="C49" s="51">
        <f>erisoojused!J43*'dünaamiline viskoossus'!D43/soojusjuhtivus!C46</f>
        <v>0.66695121824779691</v>
      </c>
      <c r="D49" s="51">
        <f>erisoojused!K43*'dünaamiline viskoossus'!E43/soojusjuhtivus!D46</f>
        <v>0.7210083415908477</v>
      </c>
      <c r="E49" s="51">
        <f>erisoojused!L43*'dünaamiline viskoossus'!F43/soojusjuhtivus!E46</f>
        <v>0.73517052974918451</v>
      </c>
      <c r="F49" s="51">
        <f>erisoojused!M43*'dünaamiline viskoossus'!G43/soojusjuhtivus!F46</f>
        <v>0.69748500414937742</v>
      </c>
      <c r="G49" s="51">
        <f>erisoojused!G43*'dünaamiline viskoossus'!C43/soojusjuhtivus!G46</f>
        <v>0.97762462030656727</v>
      </c>
    </row>
    <row r="50" spans="2:7" x14ac:dyDescent="0.25">
      <c r="B50" s="19">
        <f t="shared" si="3"/>
        <v>150</v>
      </c>
      <c r="C50" s="51">
        <f>erisoojused!J44*'dünaamiline viskoossus'!D44/soojusjuhtivus!C47</f>
        <v>0.66692551617873652</v>
      </c>
      <c r="D50" s="51">
        <f>erisoojused!K44*'dünaamiline viskoossus'!E44/soojusjuhtivus!D47</f>
        <v>0.72109116176645649</v>
      </c>
      <c r="E50" s="51">
        <f>erisoojused!L44*'dünaamiline viskoossus'!F44/soojusjuhtivus!E47</f>
        <v>0.73453042592455897</v>
      </c>
      <c r="F50" s="51">
        <f>erisoojused!M44*'dünaamiline viskoossus'!G44/soojusjuhtivus!F47</f>
        <v>0.69705917462314992</v>
      </c>
      <c r="G50" s="51">
        <f>erisoojused!G44*'dünaamiline viskoossus'!C44/soojusjuhtivus!G47</f>
        <v>0.97544988217355144</v>
      </c>
    </row>
    <row r="51" spans="2:7" x14ac:dyDescent="0.25">
      <c r="B51" s="19">
        <f t="shared" si="3"/>
        <v>155</v>
      </c>
      <c r="C51" s="51">
        <f>erisoojused!J45*'dünaamiline viskoossus'!D45/soojusjuhtivus!C48</f>
        <v>0.66692172533717875</v>
      </c>
      <c r="D51" s="51">
        <f>erisoojused!K45*'dünaamiline viskoossus'!E45/soojusjuhtivus!D48</f>
        <v>0.72112117511724616</v>
      </c>
      <c r="E51" s="51">
        <f>erisoojused!L45*'dünaamiline viskoossus'!F45/soojusjuhtivus!E48</f>
        <v>0.73394135785418324</v>
      </c>
      <c r="F51" s="51">
        <f>erisoojused!M45*'dünaamiline viskoossus'!G45/soojusjuhtivus!F48</f>
        <v>0.6966835220261931</v>
      </c>
      <c r="G51" s="51">
        <f>erisoojused!G45*'dünaamiline viskoossus'!C45/soojusjuhtivus!G48</f>
        <v>0.97343383890141422</v>
      </c>
    </row>
    <row r="52" spans="2:7" x14ac:dyDescent="0.25">
      <c r="B52" s="19">
        <f t="shared" si="3"/>
        <v>160</v>
      </c>
      <c r="C52" s="51">
        <f>erisoojused!J46*'dünaamiline viskoossus'!D46/soojusjuhtivus!C49</f>
        <v>0.66691459459459457</v>
      </c>
      <c r="D52" s="51">
        <f>erisoojused!K46*'dünaamiline viskoossus'!E46/soojusjuhtivus!D49</f>
        <v>0.72116285597333485</v>
      </c>
      <c r="E52" s="51">
        <f>erisoojused!L46*'dünaamiline viskoossus'!F46/soojusjuhtivus!E49</f>
        <v>0.73339307224171257</v>
      </c>
      <c r="F52" s="51">
        <f>erisoojused!M46*'dünaamiline viskoossus'!G46/soojusjuhtivus!F49</f>
        <v>0.6962841122621054</v>
      </c>
      <c r="G52" s="51">
        <f>erisoojused!G46*'dünaamiline viskoossus'!C46/soojusjuhtivus!G49</f>
        <v>0.97158608613664688</v>
      </c>
    </row>
    <row r="53" spans="2:7" x14ac:dyDescent="0.25">
      <c r="B53" s="19">
        <f t="shared" si="3"/>
        <v>165</v>
      </c>
      <c r="C53" s="51">
        <f>erisoojused!J47*'dünaamiline viskoossus'!D47/soojusjuhtivus!C50</f>
        <v>0.6669134491521892</v>
      </c>
      <c r="D53" s="51">
        <f>erisoojused!K47*'dünaamiline viskoossus'!E47/soojusjuhtivus!D50</f>
        <v>7.2123040000000013E-2</v>
      </c>
      <c r="E53" s="51">
        <f>erisoojused!L47*'dünaamiline viskoossus'!F47/soojusjuhtivus!E50</f>
        <v>0.73282160330112156</v>
      </c>
      <c r="F53" s="51">
        <f>erisoojused!M47*'dünaamiline viskoossus'!G47/soojusjuhtivus!F50</f>
        <v>0.69590861156718398</v>
      </c>
      <c r="G53" s="51">
        <f>erisoojused!G47*'dünaamiline viskoossus'!C47/soojusjuhtivus!G50</f>
        <v>0.96984564676204055</v>
      </c>
    </row>
    <row r="54" spans="2:7" x14ac:dyDescent="0.25">
      <c r="B54" s="19">
        <f t="shared" si="3"/>
        <v>170</v>
      </c>
      <c r="C54" s="51">
        <f>erisoojused!J48*'dünaamiline viskoossus'!D48/soojusjuhtivus!C51</f>
        <v>0.66687778649597362</v>
      </c>
      <c r="D54" s="51">
        <f>erisoojused!K48*'dünaamiline viskoossus'!E48/soojusjuhtivus!D51</f>
        <v>0.72134105120983949</v>
      </c>
      <c r="E54" s="51">
        <f>erisoojused!L48*'dünaamiline viskoossus'!F48/soojusjuhtivus!E51</f>
        <v>0.73232702047058007</v>
      </c>
      <c r="F54" s="51">
        <f>erisoojused!M48*'dünaamiline viskoossus'!G48/soojusjuhtivus!F51</f>
        <v>0.69551661059581826</v>
      </c>
      <c r="G54" s="51">
        <f>erisoojused!G48*'dünaamiline viskoossus'!C48/soojusjuhtivus!G51</f>
        <v>0.96825040735529888</v>
      </c>
    </row>
    <row r="55" spans="2:7" x14ac:dyDescent="0.25">
      <c r="B55" s="19">
        <f t="shared" si="3"/>
        <v>175</v>
      </c>
      <c r="C55" s="51">
        <f>erisoojused!J49*'dünaamiline viskoossus'!D49/soojusjuhtivus!C52</f>
        <v>0.66686706407369489</v>
      </c>
      <c r="D55" s="51">
        <f>erisoojused!K49*'dünaamiline viskoossus'!E49/soojusjuhtivus!D52</f>
        <v>0.72134849978629445</v>
      </c>
      <c r="E55" s="51">
        <f>erisoojused!L49*'dünaamiline viskoossus'!F49/soojusjuhtivus!E52</f>
        <v>0.73186427494775785</v>
      </c>
      <c r="F55" s="51">
        <f>erisoojused!M49*'dünaamiline viskoossus'!G49/soojusjuhtivus!F52</f>
        <v>0.69515185770955956</v>
      </c>
      <c r="G55" s="51">
        <f>erisoojused!G49*'dünaamiline viskoossus'!C49/soojusjuhtivus!G52</f>
        <v>0.96672319700683773</v>
      </c>
    </row>
    <row r="56" spans="2:7" x14ac:dyDescent="0.25">
      <c r="B56" s="19">
        <f t="shared" si="3"/>
        <v>180</v>
      </c>
      <c r="C56" s="51">
        <f>erisoojused!J50*'dünaamiline viskoossus'!D50/soojusjuhtivus!C53</f>
        <v>0.66688337663392061</v>
      </c>
      <c r="D56" s="51">
        <f>erisoojused!K50*'dünaamiline viskoossus'!E50/soojusjuhtivus!D53</f>
        <v>0.72145036873781476</v>
      </c>
      <c r="E56" s="51">
        <f>erisoojused!L50*'dünaamiline viskoossus'!F50/soojusjuhtivus!E53</f>
        <v>0.73140601303657671</v>
      </c>
      <c r="F56" s="51">
        <f>erisoojused!M50*'dünaamiline viskoossus'!G50/soojusjuhtivus!F53</f>
        <v>0.69480297059427287</v>
      </c>
      <c r="G56" s="51">
        <f>erisoojused!G50*'dünaamiline viskoossus'!C50/soojusjuhtivus!G53</f>
        <v>0.96528339586645484</v>
      </c>
    </row>
    <row r="57" spans="2:7" x14ac:dyDescent="0.25">
      <c r="B57" s="19">
        <f t="shared" si="3"/>
        <v>185</v>
      </c>
      <c r="C57" s="51">
        <f>erisoojused!J51*'dünaamiline viskoossus'!D51/soojusjuhtivus!C54</f>
        <v>0.66686315393285556</v>
      </c>
      <c r="D57" s="51">
        <f>erisoojused!K51*'dünaamiline viskoossus'!E51/soojusjuhtivus!D54</f>
        <v>0.72152759828508961</v>
      </c>
      <c r="E57" s="51">
        <f>erisoojused!L51*'dünaamiline viskoossus'!F51/soojusjuhtivus!E54</f>
        <v>0.73098257243722109</v>
      </c>
      <c r="F57" s="51">
        <f>erisoojused!M51*'dünaamiline viskoossus'!G51/soojusjuhtivus!F54</f>
        <v>0.69441322531491256</v>
      </c>
      <c r="G57" s="51">
        <f>erisoojused!G51*'dünaamiline viskoossus'!C51/soojusjuhtivus!G54</f>
        <v>0.96387170308140802</v>
      </c>
    </row>
    <row r="58" spans="2:7" x14ac:dyDescent="0.25">
      <c r="B58" s="19">
        <f t="shared" si="3"/>
        <v>190</v>
      </c>
      <c r="C58" s="51">
        <f>erisoojused!J52*'dünaamiline viskoossus'!D52/soojusjuhtivus!C55</f>
        <v>0.66684305469061878</v>
      </c>
      <c r="D58" s="51">
        <f>erisoojused!K52*'dünaamiline viskoossus'!E52/soojusjuhtivus!D55</f>
        <v>0.72160080040020003</v>
      </c>
      <c r="E58" s="51">
        <f>erisoojused!L52*'dünaamiline viskoossus'!F52/soojusjuhtivus!E55</f>
        <v>0.73058410616910852</v>
      </c>
      <c r="F58" s="51">
        <f>erisoojused!M52*'dünaamiline viskoossus'!G52/soojusjuhtivus!F55</f>
        <v>0.69404992584026748</v>
      </c>
      <c r="G58" s="51">
        <f>erisoojused!G52*'dünaamiline viskoossus'!C52/soojusjuhtivus!G55</f>
        <v>0.96255418611119703</v>
      </c>
    </row>
    <row r="59" spans="2:7" x14ac:dyDescent="0.25">
      <c r="B59" s="19">
        <f t="shared" si="3"/>
        <v>195</v>
      </c>
      <c r="C59" s="51">
        <f>erisoojused!J53*'dünaamiline viskoossus'!D53/soojusjuhtivus!C56</f>
        <v>0.66685526211593293</v>
      </c>
      <c r="D59" s="51">
        <f>erisoojused!K53*'dünaamiline viskoossus'!E53/soojusjuhtivus!D56</f>
        <v>0.72168975108195277</v>
      </c>
      <c r="E59" s="51">
        <f>erisoojused!L53*'dünaamiline viskoossus'!F53/soojusjuhtivus!E56</f>
        <v>0.73019206915548651</v>
      </c>
      <c r="F59" s="51">
        <f>erisoojused!M53*'dünaamiline viskoossus'!G53/soojusjuhtivus!F56</f>
        <v>0.69371898312677316</v>
      </c>
      <c r="G59" s="51">
        <f>erisoojused!G53*'dünaamiline viskoossus'!C53/soojusjuhtivus!G56</f>
        <v>0.96130374173497057</v>
      </c>
    </row>
    <row r="60" spans="2:7" x14ac:dyDescent="0.25">
      <c r="B60" s="19">
        <f t="shared" si="3"/>
        <v>200</v>
      </c>
      <c r="C60" s="51">
        <f>erisoojused!J54*'dünaamiline viskoossus'!D54/soojusjuhtivus!C57</f>
        <v>0.66685235065394122</v>
      </c>
      <c r="D60" s="51">
        <f>erisoojused!K54*'dünaamiline viskoossus'!E54/soojusjuhtivus!D57</f>
        <v>0.72173566487107266</v>
      </c>
      <c r="E60" s="51">
        <f>erisoojused!L54*'dünaamiline viskoossus'!F54/soojusjuhtivus!E57</f>
        <v>0.72982126626802668</v>
      </c>
      <c r="F60" s="51">
        <f>erisoojused!M54*'dünaamiline viskoossus'!G54/soojusjuhtivus!F57</f>
        <v>0.69334783619967488</v>
      </c>
      <c r="G60" s="51">
        <f>erisoojused!G54*'dünaamiline viskoossus'!C54/soojusjuhtivus!G57</f>
        <v>0.96010232544165364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2 1 A i U D Y P J e y n A A A A + A A A A B I A H A B D b 2 5 m a W c v U G F j a 2 F n Z S 5 4 b W w g o h g A K K A U A A A A A A A A A A A A A A A A A A A A A A A A A A A A h Y + 9 D o I w G E V f h X S n f y p R 8 1 E G w y a J i Y l x J a V C I x R D i + X d H H w k X 0 E S R d 0 c 7 8 k Z z n 3 c 7 p A M T R 1 c V W d 1 a 2 L E M E W B M r I t t C l j 1 L t T u E S J g F 0 u z 3 m p g l E 2 d j 3 Y I k a V c 5 c 1 I d 5 7 7 G e 4 7 U r C K W X k m G 3 3 s l J N j j 6 y / i + H 2 l i X G 6 m Q g M M r R n A c M b x g K 4 7 n E Q M y Y c i 0 + S p 8 L M Y U y A + E T V + 7 v l N C u T B N g U w T y P u F e A J Q S w M E F A A C A A g A 2 1 A i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N t Q I l A o i k e 4 D g A A A B E A A A A T A B w A R m 9 y b X V s Y X M v U 2 V j d G l v b j E u b S C i G A A o o B Q A A A A A A A A A A A A A A A A A A A A A A A A A A A A r T k 0 u y c z P U w i G 0 I b W A F B L A Q I t A B Q A A g A I A N t Q I l A 2 D y X s p w A A A P g A A A A S A A A A A A A A A A A A A A A A A A A A A A B D b 2 5 m a W c v U G F j a 2 F n Z S 5 4 b W x Q S w E C L Q A U A A I A C A D b U C J Q D 8 r p q 6 Q A A A D p A A A A E w A A A A A A A A A A A A A A A A D z A A A A W 0 N v b n R l b n R f V H l w Z X N d L n h t b F B L A Q I t A B Q A A g A I A N t Q I l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D 5 Q C u e G p M x R o d s 5 I W L 8 k z 7 A A A A A A I A A A A A A A N m A A D A A A A A E A A A A O D g V Z C m r 1 c F S G M 4 D w R 2 V N Q A A A A A B I A A A K A A A A A Q A A A A u 2 r C m 1 u 3 Z M Q I V S 7 Z q V v W 6 F A A A A C J 5 O / D G a 2 s l n A 5 p 5 v h A c v f o 3 9 0 8 r x j m 9 W T u T h 8 Q X g 6 t P 4 u O I 3 9 z F n + T B 1 8 7 f 4 A X 2 R k G Z E u M B C F c x S 6 1 L 8 y Q + c f 3 h 6 A N r K e k V V r S 0 / X c R B t h B Q A A A C E P O o X j h v 0 s I B V t R E v 1 g S F p 8 K 5 P w = = < / D a t a M a s h u p > 
</file>

<file path=customXml/itemProps1.xml><?xml version="1.0" encoding="utf-8"?>
<ds:datastoreItem xmlns:ds="http://schemas.openxmlformats.org/officeDocument/2006/customXml" ds:itemID="{46127AE1-2E66-4F2A-BCA0-A29A5DFA8ACE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32</vt:i4>
      </vt:variant>
    </vt:vector>
  </HeadingPairs>
  <TitlesOfParts>
    <vt:vector size="53" baseType="lpstr">
      <vt:lpstr>suitsugaasid</vt:lpstr>
      <vt:lpstr>DIN EN 12952-15</vt:lpstr>
      <vt:lpstr>saadav soojus</vt:lpstr>
      <vt:lpstr>PES</vt:lpstr>
      <vt:lpstr>kasutegur, efektiivsus</vt:lpstr>
      <vt:lpstr>soojusvahetus</vt:lpstr>
      <vt:lpstr>kütteväärtused</vt:lpstr>
      <vt:lpstr>soojusjuhtivus</vt:lpstr>
      <vt:lpstr>Prandtl</vt:lpstr>
      <vt:lpstr>kinemaatiline viskoossus</vt:lpstr>
      <vt:lpstr>dünaamiline viskoossus</vt:lpstr>
      <vt:lpstr>kondensatsioonisoojus</vt:lpstr>
      <vt:lpstr>tihedused</vt:lpstr>
      <vt:lpstr>erisoojused</vt:lpstr>
      <vt:lpstr>molaarruumala</vt:lpstr>
      <vt:lpstr>psühromeetria</vt:lpstr>
      <vt:lpstr>tabelid</vt:lpstr>
      <vt:lpstr>reaalsed andmed</vt:lpstr>
      <vt:lpstr>skeem</vt:lpstr>
      <vt:lpstr>graafikud</vt:lpstr>
      <vt:lpstr>Tootjapoolsed graafikud</vt:lpstr>
      <vt:lpstr>abs_dif</vt:lpstr>
      <vt:lpstr>aur_erisoojus</vt:lpstr>
      <vt:lpstr>dün_visk</vt:lpstr>
      <vt:lpstr>k_temp</vt:lpstr>
      <vt:lpstr>kastepunkt</vt:lpstr>
      <vt:lpstr>kin_visk</vt:lpstr>
      <vt:lpstr>kuiv_õhk</vt:lpstr>
      <vt:lpstr>kuivadgaasid_erisoojus</vt:lpstr>
      <vt:lpstr>kütteväärtus</vt:lpstr>
      <vt:lpstr>kütus</vt:lpstr>
      <vt:lpstr>kütuse_andmed</vt:lpstr>
      <vt:lpstr>kütusekulu</vt:lpstr>
      <vt:lpstr>liigõhutegur</vt:lpstr>
      <vt:lpstr>molaarruumala</vt:lpstr>
      <vt:lpstr>niiskus</vt:lpstr>
      <vt:lpstr>NIISKUS_X</vt:lpstr>
      <vt:lpstr>niiskusesisaldus</vt:lpstr>
      <vt:lpstr>prandtl</vt:lpstr>
      <vt:lpstr>rel_dif</vt:lpstr>
      <vt:lpstr>sg_kin_visk</vt:lpstr>
      <vt:lpstr>sg_soojusjuhtivus</vt:lpstr>
      <vt:lpstr>sg_temp</vt:lpstr>
      <vt:lpstr>soojusjuhtivus</vt:lpstr>
      <vt:lpstr>tihedus_sg</vt:lpstr>
      <vt:lpstr>v_niiskusesisaldus</vt:lpstr>
      <vt:lpstr>vee_erisoojus</vt:lpstr>
      <vt:lpstr>vee_kondsoojus</vt:lpstr>
      <vt:lpstr>vee_spt</vt:lpstr>
      <vt:lpstr>vee_tihedus</vt:lpstr>
      <vt:lpstr>veeaur</vt:lpstr>
      <vt:lpstr>väljund_niiskus</vt:lpstr>
      <vt:lpstr>väljund_temp</vt:lpstr>
    </vt:vector>
  </TitlesOfParts>
  <Company>Tallinn University of Technology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Kertu Lepiksaar</dc:creator>
  <cp:lastModifiedBy>Kertu Lepiksaar</cp:lastModifiedBy>
  <dcterms:created xsi:type="dcterms:W3CDTF">2019-10-23T05:30:36Z</dcterms:created>
  <dcterms:modified xsi:type="dcterms:W3CDTF">2020-05-18T09:51:41Z</dcterms:modified>
</cp:coreProperties>
</file>